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showPivotChartFilter="1"/>
  <bookViews>
    <workbookView xWindow="240" yWindow="1725" windowWidth="24855" windowHeight="10620" tabRatio="682"/>
  </bookViews>
  <sheets>
    <sheet name="FMTC Main" sheetId="8" r:id="rId1"/>
    <sheet name="Tire Dynamics" sheetId="12" r:id="rId2"/>
    <sheet name="Transmission" sheetId="7" r:id="rId3"/>
    <sheet name="Aerodynamics" sheetId="9" r:id="rId4"/>
    <sheet name="Class Builder" sheetId="15" r:id="rId5"/>
    <sheet name="Priority Upgrade Table" sheetId="18" r:id="rId6"/>
    <sheet name="Rim Styles" sheetId="11" r:id="rId7"/>
    <sheet name="Vehicle Database" sheetId="10" r:id="rId8"/>
    <sheet name="Summary" sheetId="16" r:id="rId9"/>
    <sheet name="Calculation Data &amp; Factors" sheetId="5" r:id="rId10"/>
    <sheet name="Graveyard" sheetId="17" r:id="rId11"/>
  </sheets>
  <definedNames>
    <definedName name="_xlnm._FilterDatabase" localSheetId="4" hidden="1">'Class Builder'!#REF!</definedName>
    <definedName name="_xlnm._FilterDatabase" localSheetId="0" hidden="1">'Calculation Data &amp; Factors'!$Q$2:$R$28</definedName>
    <definedName name="_xlnm._FilterDatabase" localSheetId="2" hidden="1">Transmission!$B$3:$D$3</definedName>
    <definedName name="_xlnm._FilterDatabase" localSheetId="7" hidden="1">'Vehicle Database'!$A$2:$M$569</definedName>
    <definedName name="DriveTypeList">'Calculation Data &amp; Factors'!$A$2:$A$5</definedName>
    <definedName name="Favorite_Option">'Calculation Data &amp; Factors'!$A$40:$A$41</definedName>
    <definedName name="ModelList">'Vehicle Database'!$AA$2:$AA$569</definedName>
    <definedName name="_xlnm.Print_Area" localSheetId="3">Aerodynamics!$A$1:$N$30</definedName>
    <definedName name="_xlnm.Print_Area" localSheetId="9">'Calculation Data &amp; Factors'!$A$1:$S$48</definedName>
    <definedName name="_xlnm.Print_Area" localSheetId="4">'Class Builder'!$A$1:$G$76</definedName>
    <definedName name="_xlnm.Print_Area" localSheetId="0">'FMTC Main'!$B$1:$X$37</definedName>
    <definedName name="_xlnm.Print_Area" localSheetId="10">'Priority Upgrade Table'!$A$1:$J$51</definedName>
    <definedName name="_xlnm.Print_Area" localSheetId="5">'Priority Upgrade Table'!$A$1:$S$51</definedName>
    <definedName name="_xlnm.Print_Area" localSheetId="6">'Rim Styles'!$A$2:$C$117</definedName>
    <definedName name="_xlnm.Print_Area" localSheetId="8">Summary!$A$1:$D$61</definedName>
    <definedName name="_xlnm.Print_Area" localSheetId="1">'Tire Dynamics'!$A$1:$R$48</definedName>
    <definedName name="_xlnm.Print_Area" localSheetId="2">Transmission!$B$1:$AI$46</definedName>
    <definedName name="_xlnm.Print_Area" localSheetId="7">CarList[[#All],[year]:[notes]]</definedName>
    <definedName name="_xlnm.Print_Titles" localSheetId="7">'Vehicle Database'!$2:$2</definedName>
    <definedName name="RimList">'Rim Styles'!$F$2:$F$116</definedName>
    <definedName name="ShiftPointList">'Calculation Data &amp; Factors'!$A$37:$A$38</definedName>
  </definedNames>
  <calcPr calcId="144525"/>
  <fileRecoveryPr repairLoad="1"/>
</workbook>
</file>

<file path=xl/calcChain.xml><?xml version="1.0" encoding="utf-8"?>
<calcChain xmlns="http://schemas.openxmlformats.org/spreadsheetml/2006/main">
  <c r="C33" i="16" l="1"/>
  <c r="C32" i="16"/>
  <c r="N283" i="10"/>
  <c r="N289" i="10"/>
  <c r="AA283" i="10"/>
  <c r="AA289" i="10"/>
  <c r="Y289" i="10"/>
  <c r="Z289" i="10"/>
  <c r="Y283" i="10"/>
  <c r="Z283" i="10"/>
  <c r="Q38" i="12" l="1"/>
  <c r="R38" i="12" s="1"/>
  <c r="R39" i="12" s="1"/>
  <c r="N569" i="10"/>
  <c r="N568" i="10"/>
  <c r="N567" i="10"/>
  <c r="N566" i="10"/>
  <c r="N565" i="10"/>
  <c r="N564" i="10"/>
  <c r="N563" i="10"/>
  <c r="N562" i="10"/>
  <c r="N561" i="10"/>
  <c r="N560" i="10"/>
  <c r="N559" i="10"/>
  <c r="N558" i="10"/>
  <c r="N557" i="10"/>
  <c r="N556" i="10"/>
  <c r="N555" i="10"/>
  <c r="N554" i="10"/>
  <c r="N553" i="10"/>
  <c r="N552" i="10"/>
  <c r="N551" i="10"/>
  <c r="N550" i="10"/>
  <c r="N549" i="10"/>
  <c r="N548" i="10"/>
  <c r="N547" i="10"/>
  <c r="N546" i="10"/>
  <c r="N545" i="10"/>
  <c r="N544" i="10"/>
  <c r="N543" i="10"/>
  <c r="N542" i="10"/>
  <c r="N541" i="10"/>
  <c r="N540" i="10"/>
  <c r="N539" i="10"/>
  <c r="N538" i="10"/>
  <c r="N537" i="10"/>
  <c r="N536" i="10"/>
  <c r="N535" i="10"/>
  <c r="N534" i="10"/>
  <c r="N533" i="10"/>
  <c r="N532" i="10"/>
  <c r="N531" i="10"/>
  <c r="N530" i="10"/>
  <c r="N529" i="10"/>
  <c r="N528" i="10"/>
  <c r="N527" i="10"/>
  <c r="N526" i="10"/>
  <c r="N525" i="10"/>
  <c r="N524" i="10"/>
  <c r="N523" i="10"/>
  <c r="N522" i="10"/>
  <c r="N521" i="10"/>
  <c r="N520" i="10"/>
  <c r="N519" i="10"/>
  <c r="N518" i="10"/>
  <c r="N517" i="10"/>
  <c r="N516" i="10"/>
  <c r="N515" i="10"/>
  <c r="N514" i="10"/>
  <c r="N513" i="10"/>
  <c r="N512" i="10"/>
  <c r="N511" i="10"/>
  <c r="N510" i="10"/>
  <c r="N509" i="10"/>
  <c r="N508" i="10"/>
  <c r="N507" i="10"/>
  <c r="N506" i="10"/>
  <c r="N505" i="10"/>
  <c r="N504" i="10"/>
  <c r="N503" i="10"/>
  <c r="N502" i="10"/>
  <c r="N501" i="10"/>
  <c r="N500" i="10"/>
  <c r="N499" i="10"/>
  <c r="N498" i="10"/>
  <c r="N497" i="10"/>
  <c r="N496" i="10"/>
  <c r="N495" i="10"/>
  <c r="N494" i="10"/>
  <c r="N493" i="10"/>
  <c r="N492" i="10"/>
  <c r="N491" i="10"/>
  <c r="N490" i="10"/>
  <c r="N489" i="10"/>
  <c r="N488" i="10"/>
  <c r="N487" i="10"/>
  <c r="N486" i="10"/>
  <c r="N485" i="10"/>
  <c r="N484" i="10"/>
  <c r="N483" i="10"/>
  <c r="N482" i="10"/>
  <c r="N481" i="10"/>
  <c r="N480" i="10"/>
  <c r="N479" i="10"/>
  <c r="N478" i="10"/>
  <c r="N477" i="10"/>
  <c r="N476" i="10"/>
  <c r="N475" i="10"/>
  <c r="N474" i="10"/>
  <c r="N473" i="10"/>
  <c r="N472" i="10"/>
  <c r="N471" i="10"/>
  <c r="N470" i="10"/>
  <c r="N469" i="10"/>
  <c r="N468" i="10"/>
  <c r="N467" i="10"/>
  <c r="N466" i="10"/>
  <c r="N465" i="10"/>
  <c r="N464" i="10"/>
  <c r="N463" i="10"/>
  <c r="N462" i="10"/>
  <c r="N461" i="10"/>
  <c r="N460" i="10"/>
  <c r="N459" i="10"/>
  <c r="N458" i="10"/>
  <c r="N457" i="10"/>
  <c r="N456" i="10"/>
  <c r="N455" i="10"/>
  <c r="N454" i="10"/>
  <c r="N453" i="10"/>
  <c r="N452" i="10"/>
  <c r="N451" i="10"/>
  <c r="N450" i="10"/>
  <c r="N449" i="10"/>
  <c r="N448" i="10"/>
  <c r="N447" i="10"/>
  <c r="N446" i="10"/>
  <c r="N445" i="10"/>
  <c r="N444" i="10"/>
  <c r="N443" i="10"/>
  <c r="N442" i="10"/>
  <c r="N441" i="10"/>
  <c r="N440" i="10"/>
  <c r="N439" i="10"/>
  <c r="N438" i="10"/>
  <c r="N437" i="10"/>
  <c r="N436" i="10"/>
  <c r="N435" i="10"/>
  <c r="N434" i="10"/>
  <c r="N433" i="10"/>
  <c r="N432" i="10"/>
  <c r="N431" i="10"/>
  <c r="N430" i="10"/>
  <c r="N429" i="10"/>
  <c r="N428" i="10"/>
  <c r="N427" i="10"/>
  <c r="N426" i="10"/>
  <c r="N425" i="10"/>
  <c r="N424" i="10"/>
  <c r="N423" i="10"/>
  <c r="N422" i="10"/>
  <c r="N421" i="10"/>
  <c r="N420" i="10"/>
  <c r="N419" i="10"/>
  <c r="N418" i="10"/>
  <c r="N417" i="10"/>
  <c r="N416" i="10"/>
  <c r="N415" i="10"/>
  <c r="N414" i="10"/>
  <c r="N413" i="10"/>
  <c r="N412" i="10"/>
  <c r="N411" i="10"/>
  <c r="N410" i="10"/>
  <c r="N409" i="10"/>
  <c r="N408" i="10"/>
  <c r="N407" i="10"/>
  <c r="N406" i="10"/>
  <c r="N405" i="10"/>
  <c r="N404" i="10"/>
  <c r="N403" i="10"/>
  <c r="N402" i="10"/>
  <c r="N401" i="10"/>
  <c r="N400" i="10"/>
  <c r="N399" i="10"/>
  <c r="N398" i="10"/>
  <c r="N397" i="10"/>
  <c r="N396" i="10"/>
  <c r="N395" i="10"/>
  <c r="N394" i="10"/>
  <c r="N393" i="10"/>
  <c r="N392" i="10"/>
  <c r="N391" i="10"/>
  <c r="N390" i="10"/>
  <c r="N389" i="10"/>
  <c r="N388" i="10"/>
  <c r="N387" i="10"/>
  <c r="N386" i="10"/>
  <c r="N385" i="10"/>
  <c r="N384" i="10"/>
  <c r="N383" i="10"/>
  <c r="N382" i="10"/>
  <c r="N381" i="10"/>
  <c r="N380" i="10"/>
  <c r="N379" i="10"/>
  <c r="N378" i="10"/>
  <c r="N377" i="10"/>
  <c r="N376" i="10"/>
  <c r="N375" i="10"/>
  <c r="N374" i="10"/>
  <c r="N373" i="10"/>
  <c r="N372" i="10"/>
  <c r="N371" i="10"/>
  <c r="N370" i="10"/>
  <c r="N369" i="10"/>
  <c r="N368" i="10"/>
  <c r="N367" i="10"/>
  <c r="N366" i="10"/>
  <c r="N365" i="10"/>
  <c r="N364" i="10"/>
  <c r="N363" i="10"/>
  <c r="N362" i="10"/>
  <c r="N361" i="10"/>
  <c r="N360" i="10"/>
  <c r="N359" i="10"/>
  <c r="N358" i="10"/>
  <c r="N357" i="10"/>
  <c r="N356" i="10"/>
  <c r="N355" i="10"/>
  <c r="N354" i="10"/>
  <c r="N353" i="10"/>
  <c r="N352" i="10"/>
  <c r="N351" i="10"/>
  <c r="N350" i="10"/>
  <c r="N349" i="10"/>
  <c r="N348" i="10"/>
  <c r="N347" i="10"/>
  <c r="N346" i="10"/>
  <c r="N345" i="10"/>
  <c r="N344" i="10"/>
  <c r="N343" i="10"/>
  <c r="N342" i="10"/>
  <c r="N341" i="10"/>
  <c r="N340" i="10"/>
  <c r="N339" i="10"/>
  <c r="N338" i="10"/>
  <c r="N337" i="10"/>
  <c r="N336" i="10"/>
  <c r="N335" i="10"/>
  <c r="N334" i="10"/>
  <c r="N333" i="10"/>
  <c r="N332" i="10"/>
  <c r="N331" i="10"/>
  <c r="N330" i="10"/>
  <c r="N329" i="10"/>
  <c r="N328" i="10"/>
  <c r="N327" i="10"/>
  <c r="N326" i="10"/>
  <c r="N325" i="10"/>
  <c r="N324" i="10"/>
  <c r="N323" i="10"/>
  <c r="N322" i="10"/>
  <c r="N321" i="10"/>
  <c r="N320" i="10"/>
  <c r="N319" i="10"/>
  <c r="N318" i="10"/>
  <c r="N317" i="10"/>
  <c r="N316" i="10"/>
  <c r="N315" i="10"/>
  <c r="N314" i="10"/>
  <c r="N313" i="10"/>
  <c r="N312" i="10"/>
  <c r="N311" i="10"/>
  <c r="N310" i="10"/>
  <c r="N309" i="10"/>
  <c r="N308" i="10"/>
  <c r="N307" i="10"/>
  <c r="N306" i="10"/>
  <c r="N305" i="10"/>
  <c r="N304" i="10"/>
  <c r="N303" i="10"/>
  <c r="N302" i="10"/>
  <c r="N301" i="10"/>
  <c r="N300" i="10"/>
  <c r="N299" i="10"/>
  <c r="N298" i="10"/>
  <c r="N297" i="10"/>
  <c r="N296" i="10"/>
  <c r="N295" i="10"/>
  <c r="N294" i="10"/>
  <c r="N293" i="10"/>
  <c r="N292" i="10"/>
  <c r="N291" i="10"/>
  <c r="N290" i="10"/>
  <c r="N288" i="10"/>
  <c r="N287" i="10"/>
  <c r="N286" i="10"/>
  <c r="N285" i="10"/>
  <c r="N284" i="10"/>
  <c r="N282" i="10"/>
  <c r="N281" i="10"/>
  <c r="N280" i="10"/>
  <c r="N279" i="10"/>
  <c r="N278" i="10"/>
  <c r="N277" i="10"/>
  <c r="N276" i="10"/>
  <c r="N275" i="10"/>
  <c r="N274" i="10"/>
  <c r="N273" i="10"/>
  <c r="N272" i="10"/>
  <c r="N271" i="10"/>
  <c r="N270" i="10"/>
  <c r="N269" i="10"/>
  <c r="N268" i="10"/>
  <c r="N267" i="10"/>
  <c r="N266" i="10"/>
  <c r="N265" i="10"/>
  <c r="N264" i="10"/>
  <c r="N263" i="10"/>
  <c r="N262" i="10"/>
  <c r="N261" i="10"/>
  <c r="N260" i="10"/>
  <c r="N259" i="10"/>
  <c r="N258" i="10"/>
  <c r="N257" i="10"/>
  <c r="N256" i="10"/>
  <c r="N255" i="10"/>
  <c r="N254" i="10"/>
  <c r="N253" i="10"/>
  <c r="N252" i="10"/>
  <c r="N251" i="10"/>
  <c r="N250" i="10"/>
  <c r="N249" i="10"/>
  <c r="N248" i="10"/>
  <c r="N247" i="10"/>
  <c r="N246" i="10"/>
  <c r="N245" i="10"/>
  <c r="N244" i="10"/>
  <c r="N243" i="10"/>
  <c r="N242" i="10"/>
  <c r="N241" i="10"/>
  <c r="N240" i="10"/>
  <c r="N239" i="10"/>
  <c r="N238" i="10"/>
  <c r="N237" i="10"/>
  <c r="N236" i="10"/>
  <c r="N235" i="10"/>
  <c r="N234" i="10"/>
  <c r="N233" i="10"/>
  <c r="N232" i="10"/>
  <c r="N231" i="10"/>
  <c r="N230" i="10"/>
  <c r="N229" i="10"/>
  <c r="N228" i="10"/>
  <c r="N227" i="10"/>
  <c r="N226" i="10"/>
  <c r="N225" i="10"/>
  <c r="N224" i="10"/>
  <c r="N223" i="10"/>
  <c r="N222" i="10"/>
  <c r="N221" i="10"/>
  <c r="N220" i="10"/>
  <c r="N219" i="10"/>
  <c r="N218" i="10"/>
  <c r="N217" i="10"/>
  <c r="N216" i="10"/>
  <c r="N215" i="10"/>
  <c r="N214" i="10"/>
  <c r="N213" i="10"/>
  <c r="N212" i="10"/>
  <c r="N211" i="10"/>
  <c r="N210" i="10"/>
  <c r="N209" i="10"/>
  <c r="N208" i="10"/>
  <c r="N207" i="10"/>
  <c r="N206" i="10"/>
  <c r="N205" i="10"/>
  <c r="N204" i="10"/>
  <c r="N203" i="10"/>
  <c r="N202" i="10"/>
  <c r="N201" i="10"/>
  <c r="N200" i="10"/>
  <c r="N199" i="10"/>
  <c r="N198" i="10"/>
  <c r="N197" i="10"/>
  <c r="N196" i="10"/>
  <c r="N195" i="10"/>
  <c r="N194" i="10"/>
  <c r="N193" i="10"/>
  <c r="N192" i="10"/>
  <c r="N191" i="10"/>
  <c r="N190" i="10"/>
  <c r="N189" i="10"/>
  <c r="N188" i="10"/>
  <c r="N187" i="10"/>
  <c r="N186" i="10"/>
  <c r="N185" i="10"/>
  <c r="N184" i="10"/>
  <c r="N183" i="10"/>
  <c r="N182" i="10"/>
  <c r="N181" i="10"/>
  <c r="N180" i="10"/>
  <c r="N179" i="10"/>
  <c r="N178" i="10"/>
  <c r="N177" i="10"/>
  <c r="N176" i="10"/>
  <c r="N175" i="10"/>
  <c r="N174" i="10"/>
  <c r="N173" i="10"/>
  <c r="N172" i="10"/>
  <c r="N171" i="10"/>
  <c r="N170" i="10"/>
  <c r="N169" i="10"/>
  <c r="N168" i="10"/>
  <c r="N167" i="10"/>
  <c r="N166" i="10"/>
  <c r="N165" i="10"/>
  <c r="N164" i="10"/>
  <c r="N163" i="10"/>
  <c r="N162" i="10"/>
  <c r="N161" i="10"/>
  <c r="N160" i="10"/>
  <c r="N159" i="10"/>
  <c r="N158" i="10"/>
  <c r="N157" i="10"/>
  <c r="N156" i="10"/>
  <c r="N155" i="10"/>
  <c r="N154" i="10"/>
  <c r="N153" i="10"/>
  <c r="N152" i="10"/>
  <c r="N151" i="10"/>
  <c r="N150" i="10"/>
  <c r="N149" i="10"/>
  <c r="N148" i="10"/>
  <c r="N147" i="10"/>
  <c r="N146" i="10"/>
  <c r="N145" i="10"/>
  <c r="N144" i="10"/>
  <c r="N143" i="10"/>
  <c r="N142" i="10"/>
  <c r="N141" i="10"/>
  <c r="N140" i="10"/>
  <c r="N139" i="10"/>
  <c r="N138" i="10"/>
  <c r="N137" i="10"/>
  <c r="N136" i="10"/>
  <c r="N135" i="10"/>
  <c r="N134" i="10"/>
  <c r="N133" i="10"/>
  <c r="N132" i="10"/>
  <c r="N131" i="10"/>
  <c r="N130" i="10"/>
  <c r="N129" i="10"/>
  <c r="N128" i="10"/>
  <c r="N127" i="10"/>
  <c r="N126" i="10"/>
  <c r="N125" i="10"/>
  <c r="N124" i="10"/>
  <c r="N123" i="10"/>
  <c r="N122" i="10"/>
  <c r="N121" i="10"/>
  <c r="N120" i="10"/>
  <c r="N119" i="10"/>
  <c r="N118" i="10"/>
  <c r="N117" i="10"/>
  <c r="N116" i="10"/>
  <c r="N115" i="10"/>
  <c r="N114" i="10"/>
  <c r="N113" i="10"/>
  <c r="N112" i="10"/>
  <c r="N111" i="10"/>
  <c r="N110" i="10"/>
  <c r="N109" i="10"/>
  <c r="N108" i="10"/>
  <c r="N107" i="10"/>
  <c r="N106" i="10"/>
  <c r="N105" i="10"/>
  <c r="N104" i="10"/>
  <c r="N103" i="10"/>
  <c r="N102" i="10"/>
  <c r="N101" i="10"/>
  <c r="N100" i="10"/>
  <c r="N99" i="10"/>
  <c r="N98" i="10"/>
  <c r="N97" i="10"/>
  <c r="N96" i="10"/>
  <c r="N95" i="10"/>
  <c r="N94" i="10"/>
  <c r="N93" i="10"/>
  <c r="N92" i="10"/>
  <c r="N91" i="10"/>
  <c r="N90" i="10"/>
  <c r="N89" i="10"/>
  <c r="N88" i="10"/>
  <c r="N87" i="10"/>
  <c r="N86" i="10"/>
  <c r="N85" i="10"/>
  <c r="N84" i="10"/>
  <c r="N83" i="10"/>
  <c r="N82" i="10"/>
  <c r="N81" i="10"/>
  <c r="N80" i="10"/>
  <c r="N79" i="10"/>
  <c r="N78" i="10"/>
  <c r="N77" i="10"/>
  <c r="N76" i="10"/>
  <c r="N75" i="10"/>
  <c r="N74" i="10"/>
  <c r="N73" i="10"/>
  <c r="N72" i="10"/>
  <c r="N71" i="10"/>
  <c r="N70" i="10"/>
  <c r="N69" i="10"/>
  <c r="N68" i="10"/>
  <c r="N67" i="10"/>
  <c r="N66" i="10"/>
  <c r="N65" i="10"/>
  <c r="N64" i="10"/>
  <c r="N63" i="10"/>
  <c r="N62" i="10"/>
  <c r="N61" i="10"/>
  <c r="N60" i="10"/>
  <c r="N59" i="10"/>
  <c r="N58" i="10"/>
  <c r="N57" i="10"/>
  <c r="N56" i="10"/>
  <c r="N55" i="10"/>
  <c r="N54" i="10"/>
  <c r="N53" i="10"/>
  <c r="N52" i="10"/>
  <c r="N51" i="10"/>
  <c r="N50" i="10"/>
  <c r="N49" i="10"/>
  <c r="N48" i="10"/>
  <c r="N47" i="10"/>
  <c r="N46" i="10"/>
  <c r="N45" i="10"/>
  <c r="N44" i="10"/>
  <c r="N43" i="10"/>
  <c r="N42" i="10"/>
  <c r="N41" i="10"/>
  <c r="N40" i="10"/>
  <c r="N39" i="10"/>
  <c r="N38" i="10"/>
  <c r="N37" i="10"/>
  <c r="N36" i="10"/>
  <c r="N35" i="10"/>
  <c r="N34" i="10"/>
  <c r="N33" i="10"/>
  <c r="N32" i="10"/>
  <c r="N31" i="10"/>
  <c r="N30" i="10"/>
  <c r="N29" i="10"/>
  <c r="N28" i="10"/>
  <c r="N27" i="10"/>
  <c r="N26" i="10"/>
  <c r="N25" i="10"/>
  <c r="N24" i="10"/>
  <c r="N23" i="10"/>
  <c r="N22" i="10"/>
  <c r="N21" i="10"/>
  <c r="N20" i="10"/>
  <c r="N19" i="10"/>
  <c r="N18" i="10"/>
  <c r="N17" i="10"/>
  <c r="N16" i="10"/>
  <c r="N15" i="10"/>
  <c r="N14" i="10"/>
  <c r="N13" i="10"/>
  <c r="N12" i="10"/>
  <c r="N11" i="10"/>
  <c r="N10" i="10"/>
  <c r="N9" i="10"/>
  <c r="N8" i="10"/>
  <c r="N7" i="10"/>
  <c r="N6" i="10"/>
  <c r="N5" i="10"/>
  <c r="N4" i="10"/>
  <c r="N3" i="10"/>
  <c r="Z273" i="10"/>
  <c r="Y273" i="10"/>
  <c r="AA273" i="10"/>
  <c r="W36" i="8"/>
  <c r="Y443" i="10"/>
  <c r="Y306" i="10"/>
  <c r="Z306" i="10"/>
  <c r="AA306" i="10"/>
  <c r="Y260" i="10"/>
  <c r="Z260" i="10"/>
  <c r="AA260" i="10"/>
  <c r="Y58" i="10"/>
  <c r="Z58" i="10"/>
  <c r="AA58" i="10"/>
  <c r="Y212" i="10"/>
  <c r="Z212" i="10"/>
  <c r="AA212" i="10"/>
  <c r="Z443" i="10"/>
  <c r="AA443" i="10"/>
  <c r="Y264" i="10"/>
  <c r="Z264" i="10"/>
  <c r="AA264" i="10"/>
  <c r="Y141" i="10"/>
  <c r="Z141" i="10"/>
  <c r="AA141" i="10"/>
  <c r="Y169" i="10"/>
  <c r="Z169" i="10"/>
  <c r="AA169" i="10"/>
  <c r="Y241" i="10"/>
  <c r="Z241" i="10"/>
  <c r="AA241" i="10"/>
  <c r="Y21" i="10"/>
  <c r="Z21" i="10"/>
  <c r="AA21" i="10"/>
  <c r="Q39" i="12" l="1"/>
  <c r="Y366" i="10"/>
  <c r="Z366" i="10"/>
  <c r="AA366" i="10"/>
  <c r="Y223" i="10"/>
  <c r="Z223" i="10"/>
  <c r="AA223" i="10"/>
  <c r="Y130" i="10"/>
  <c r="Z130" i="10"/>
  <c r="AA130" i="10"/>
  <c r="Y222" i="10"/>
  <c r="Z222" i="10"/>
  <c r="AA222" i="10"/>
  <c r="Y22" i="10"/>
  <c r="Z22" i="10"/>
  <c r="AA22" i="10"/>
  <c r="Y462" i="10"/>
  <c r="Z462" i="10"/>
  <c r="AA462" i="10"/>
  <c r="Y564" i="10"/>
  <c r="Z564" i="10"/>
  <c r="AA564" i="10"/>
  <c r="Y348" i="10"/>
  <c r="Z348" i="10"/>
  <c r="AA348" i="10"/>
  <c r="Y520" i="10"/>
  <c r="Z520" i="10"/>
  <c r="AA520" i="10"/>
  <c r="Y346" i="10"/>
  <c r="Z346" i="10"/>
  <c r="AA346" i="10"/>
  <c r="W18" i="8" l="1"/>
  <c r="C12" i="5"/>
  <c r="A20" i="5"/>
  <c r="Q26" i="12"/>
  <c r="T6" i="8"/>
  <c r="S12" i="18" l="1"/>
  <c r="S11" i="18"/>
  <c r="S10" i="18"/>
  <c r="S7" i="18"/>
  <c r="S6" i="18"/>
  <c r="S5" i="18"/>
  <c r="F42" i="18"/>
  <c r="F41" i="18"/>
  <c r="L8" i="12" l="1"/>
  <c r="S28" i="18"/>
  <c r="S36" i="18"/>
  <c r="S35" i="18"/>
  <c r="S34" i="18"/>
  <c r="S33" i="18"/>
  <c r="S32" i="18"/>
  <c r="S31" i="18"/>
  <c r="S30" i="18"/>
  <c r="S29" i="18"/>
  <c r="S17" i="18"/>
  <c r="S22" i="18"/>
  <c r="S24" i="18"/>
  <c r="S21" i="18"/>
  <c r="S18" i="18"/>
  <c r="S19" i="18"/>
  <c r="S16" i="18"/>
  <c r="S23" i="18"/>
  <c r="S20" i="18"/>
  <c r="Y164" i="10"/>
  <c r="Z164" i="10"/>
  <c r="AA164" i="10"/>
  <c r="Y179" i="10"/>
  <c r="Z179" i="10"/>
  <c r="AA179" i="10"/>
  <c r="Y37" i="10"/>
  <c r="Z37" i="10"/>
  <c r="AA37" i="10"/>
  <c r="Y46" i="10"/>
  <c r="Z46" i="10"/>
  <c r="AA46" i="10"/>
  <c r="Y121" i="10"/>
  <c r="Z121" i="10"/>
  <c r="AA121" i="10"/>
  <c r="Y229" i="10"/>
  <c r="Z229" i="10"/>
  <c r="AA229" i="10"/>
  <c r="Y251" i="10"/>
  <c r="Z251" i="10"/>
  <c r="AA251" i="10"/>
  <c r="Y562" i="10"/>
  <c r="Z562" i="10"/>
  <c r="AA562" i="10"/>
  <c r="Y57" i="10"/>
  <c r="Z57" i="10"/>
  <c r="AA57" i="10"/>
  <c r="B11" i="17"/>
  <c r="F11" i="17"/>
  <c r="B12" i="17"/>
  <c r="B13" i="17"/>
  <c r="B14" i="17"/>
  <c r="B15" i="17"/>
  <c r="B17" i="17"/>
  <c r="B18" i="17"/>
  <c r="N46" i="12"/>
  <c r="N45" i="12"/>
  <c r="B3" i="17"/>
  <c r="F3" i="17"/>
  <c r="P5" i="17"/>
  <c r="P6" i="17"/>
  <c r="S11" i="17"/>
  <c r="O15" i="17"/>
  <c r="P15" i="17" s="1"/>
  <c r="M37" i="17"/>
  <c r="R39" i="17"/>
  <c r="A9" i="5"/>
  <c r="A8" i="5" s="1"/>
  <c r="A11" i="5"/>
  <c r="B11" i="5"/>
  <c r="C11" i="5"/>
  <c r="A12" i="5"/>
  <c r="B12" i="5"/>
  <c r="B13" i="5"/>
  <c r="C13" i="5" s="1"/>
  <c r="A15" i="5"/>
  <c r="A21" i="5"/>
  <c r="A31" i="5"/>
  <c r="A33" i="5"/>
  <c r="A35" i="5"/>
  <c r="A37" i="5"/>
  <c r="A38" i="5"/>
  <c r="A44" i="5"/>
  <c r="B44" i="5"/>
  <c r="B45" i="5" s="1"/>
  <c r="C44" i="5"/>
  <c r="B46" i="5" s="1"/>
  <c r="A2" i="16"/>
  <c r="B3" i="16"/>
  <c r="B4" i="16"/>
  <c r="B5" i="16"/>
  <c r="B6" i="16"/>
  <c r="B7" i="16"/>
  <c r="B8" i="16"/>
  <c r="B9" i="16"/>
  <c r="B10" i="16"/>
  <c r="B11" i="16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29" i="16"/>
  <c r="B30" i="16"/>
  <c r="B31" i="16"/>
  <c r="B32" i="16"/>
  <c r="B33" i="16"/>
  <c r="B34" i="16"/>
  <c r="B35" i="16"/>
  <c r="B36" i="16"/>
  <c r="B37" i="16"/>
  <c r="B38" i="16"/>
  <c r="B39" i="16"/>
  <c r="B40" i="16"/>
  <c r="B41" i="16"/>
  <c r="B42" i="16"/>
  <c r="B43" i="16"/>
  <c r="B44" i="16"/>
  <c r="B45" i="16"/>
  <c r="B46" i="16"/>
  <c r="B47" i="16"/>
  <c r="B48" i="16"/>
  <c r="B49" i="16"/>
  <c r="B50" i="16"/>
  <c r="B51" i="16"/>
  <c r="B52" i="16"/>
  <c r="B53" i="16"/>
  <c r="B54" i="16"/>
  <c r="B55" i="16"/>
  <c r="B56" i="16"/>
  <c r="B57" i="16"/>
  <c r="B58" i="16"/>
  <c r="B59" i="16"/>
  <c r="B60" i="16"/>
  <c r="B61" i="16"/>
  <c r="Y3" i="10"/>
  <c r="Z3" i="10"/>
  <c r="AA3" i="10"/>
  <c r="Y4" i="10"/>
  <c r="Z4" i="10"/>
  <c r="AA4" i="10"/>
  <c r="Y5" i="10"/>
  <c r="Z5" i="10"/>
  <c r="AA5" i="10"/>
  <c r="Y6" i="10"/>
  <c r="Z6" i="10"/>
  <c r="AA6" i="10"/>
  <c r="Y7" i="10"/>
  <c r="Z7" i="10"/>
  <c r="AA7" i="10"/>
  <c r="Y8" i="10"/>
  <c r="Z8" i="10"/>
  <c r="AA8" i="10"/>
  <c r="Y9" i="10"/>
  <c r="Z9" i="10"/>
  <c r="AA9" i="10"/>
  <c r="Y10" i="10"/>
  <c r="Z10" i="10"/>
  <c r="AA10" i="10"/>
  <c r="Y11" i="10"/>
  <c r="Z11" i="10"/>
  <c r="AA11" i="10"/>
  <c r="Y12" i="10"/>
  <c r="Z12" i="10"/>
  <c r="AA12" i="10"/>
  <c r="Y13" i="10"/>
  <c r="Z13" i="10"/>
  <c r="AA13" i="10"/>
  <c r="Y14" i="10"/>
  <c r="Z14" i="10"/>
  <c r="AA14" i="10"/>
  <c r="Y15" i="10"/>
  <c r="Z15" i="10"/>
  <c r="AA15" i="10"/>
  <c r="Y16" i="10"/>
  <c r="Z16" i="10"/>
  <c r="AA16" i="10"/>
  <c r="Y17" i="10"/>
  <c r="Z17" i="10"/>
  <c r="AA17" i="10"/>
  <c r="Y18" i="10"/>
  <c r="Z18" i="10"/>
  <c r="AA18" i="10"/>
  <c r="Y19" i="10"/>
  <c r="Z19" i="10"/>
  <c r="AA19" i="10"/>
  <c r="Y20" i="10"/>
  <c r="Z20" i="10"/>
  <c r="AA20" i="10"/>
  <c r="Y23" i="10"/>
  <c r="Z23" i="10"/>
  <c r="AA23" i="10"/>
  <c r="Y24" i="10"/>
  <c r="Z24" i="10"/>
  <c r="AA24" i="10"/>
  <c r="Y25" i="10"/>
  <c r="Z25" i="10"/>
  <c r="AA25" i="10"/>
  <c r="Y26" i="10"/>
  <c r="Z26" i="10"/>
  <c r="AA26" i="10"/>
  <c r="Y27" i="10"/>
  <c r="Z27" i="10"/>
  <c r="AA27" i="10"/>
  <c r="Y28" i="10"/>
  <c r="Z28" i="10"/>
  <c r="AA28" i="10"/>
  <c r="Y29" i="10"/>
  <c r="Z29" i="10"/>
  <c r="AA29" i="10"/>
  <c r="Y30" i="10"/>
  <c r="Z30" i="10"/>
  <c r="AA30" i="10"/>
  <c r="Y31" i="10"/>
  <c r="Z31" i="10"/>
  <c r="AA31" i="10"/>
  <c r="Y32" i="10"/>
  <c r="Z32" i="10"/>
  <c r="AA32" i="10"/>
  <c r="Y33" i="10"/>
  <c r="Z33" i="10"/>
  <c r="AA33" i="10"/>
  <c r="Y34" i="10"/>
  <c r="Z34" i="10"/>
  <c r="AA34" i="10"/>
  <c r="Y35" i="10"/>
  <c r="Z35" i="10"/>
  <c r="AA35" i="10"/>
  <c r="Y36" i="10"/>
  <c r="Z36" i="10"/>
  <c r="AA36" i="10"/>
  <c r="Y38" i="10"/>
  <c r="Z38" i="10"/>
  <c r="AA38" i="10"/>
  <c r="Y39" i="10"/>
  <c r="Z39" i="10"/>
  <c r="AA39" i="10"/>
  <c r="Y40" i="10"/>
  <c r="Z40" i="10"/>
  <c r="AA40" i="10"/>
  <c r="Y41" i="10"/>
  <c r="Z41" i="10"/>
  <c r="AA41" i="10"/>
  <c r="Y42" i="10"/>
  <c r="Z42" i="10"/>
  <c r="AA42" i="10"/>
  <c r="Y43" i="10"/>
  <c r="Z43" i="10"/>
  <c r="AA43" i="10"/>
  <c r="Y44" i="10"/>
  <c r="Z44" i="10"/>
  <c r="AA44" i="10"/>
  <c r="Y45" i="10"/>
  <c r="Z45" i="10"/>
  <c r="AA45" i="10"/>
  <c r="Y47" i="10"/>
  <c r="Z47" i="10"/>
  <c r="AA47" i="10"/>
  <c r="Y48" i="10"/>
  <c r="Z48" i="10"/>
  <c r="AA48" i="10"/>
  <c r="Y49" i="10"/>
  <c r="Z49" i="10"/>
  <c r="AA49" i="10"/>
  <c r="Y50" i="10"/>
  <c r="Z50" i="10"/>
  <c r="AA50" i="10"/>
  <c r="Y51" i="10"/>
  <c r="Z51" i="10"/>
  <c r="AA51" i="10"/>
  <c r="Y52" i="10"/>
  <c r="Z52" i="10"/>
  <c r="AA52" i="10"/>
  <c r="Y53" i="10"/>
  <c r="Z53" i="10"/>
  <c r="AA53" i="10"/>
  <c r="Y54" i="10"/>
  <c r="Z54" i="10"/>
  <c r="AA54" i="10"/>
  <c r="Y55" i="10"/>
  <c r="Z55" i="10"/>
  <c r="AA55" i="10"/>
  <c r="Y56" i="10"/>
  <c r="Z56" i="10"/>
  <c r="AA56" i="10"/>
  <c r="Y59" i="10"/>
  <c r="Z59" i="10"/>
  <c r="AA59" i="10"/>
  <c r="Y60" i="10"/>
  <c r="Z60" i="10"/>
  <c r="AA60" i="10"/>
  <c r="Y61" i="10"/>
  <c r="Z61" i="10"/>
  <c r="AA61" i="10"/>
  <c r="Y62" i="10"/>
  <c r="Z62" i="10"/>
  <c r="AA62" i="10"/>
  <c r="Y63" i="10"/>
  <c r="Z63" i="10"/>
  <c r="AA63" i="10"/>
  <c r="Y64" i="10"/>
  <c r="Z64" i="10"/>
  <c r="AA64" i="10"/>
  <c r="Y65" i="10"/>
  <c r="Z65" i="10"/>
  <c r="AA65" i="10"/>
  <c r="Y66" i="10"/>
  <c r="Z66" i="10"/>
  <c r="AA66" i="10"/>
  <c r="Y67" i="10"/>
  <c r="Z67" i="10"/>
  <c r="AA67" i="10"/>
  <c r="Y68" i="10"/>
  <c r="Z68" i="10"/>
  <c r="AA68" i="10"/>
  <c r="Y69" i="10"/>
  <c r="Z69" i="10"/>
  <c r="AA69" i="10"/>
  <c r="Y70" i="10"/>
  <c r="Z70" i="10"/>
  <c r="AA70" i="10"/>
  <c r="Y71" i="10"/>
  <c r="Z71" i="10"/>
  <c r="AA71" i="10"/>
  <c r="Y72" i="10"/>
  <c r="Z72" i="10"/>
  <c r="AA72" i="10"/>
  <c r="Y73" i="10"/>
  <c r="Z73" i="10"/>
  <c r="AA73" i="10"/>
  <c r="Y74" i="10"/>
  <c r="Z74" i="10"/>
  <c r="AA74" i="10"/>
  <c r="Y75" i="10"/>
  <c r="Z75" i="10"/>
  <c r="AA75" i="10"/>
  <c r="Y76" i="10"/>
  <c r="Z76" i="10"/>
  <c r="AA76" i="10"/>
  <c r="Y77" i="10"/>
  <c r="Z77" i="10"/>
  <c r="AA77" i="10"/>
  <c r="Y78" i="10"/>
  <c r="Z78" i="10"/>
  <c r="AA78" i="10"/>
  <c r="Y79" i="10"/>
  <c r="Z79" i="10"/>
  <c r="AA79" i="10"/>
  <c r="Y80" i="10"/>
  <c r="Z80" i="10"/>
  <c r="AA80" i="10"/>
  <c r="Y81" i="10"/>
  <c r="Z81" i="10"/>
  <c r="AA81" i="10"/>
  <c r="Y82" i="10"/>
  <c r="Z82" i="10"/>
  <c r="AA82" i="10"/>
  <c r="Y83" i="10"/>
  <c r="Z83" i="10"/>
  <c r="AA83" i="10"/>
  <c r="Y84" i="10"/>
  <c r="Z84" i="10"/>
  <c r="AA84" i="10"/>
  <c r="Y85" i="10"/>
  <c r="Z85" i="10"/>
  <c r="AA85" i="10"/>
  <c r="Y86" i="10"/>
  <c r="Z86" i="10"/>
  <c r="AA86" i="10"/>
  <c r="Y87" i="10"/>
  <c r="Z87" i="10"/>
  <c r="AA87" i="10"/>
  <c r="Y88" i="10"/>
  <c r="Z88" i="10"/>
  <c r="AA88" i="10"/>
  <c r="Y89" i="10"/>
  <c r="Z89" i="10"/>
  <c r="AA89" i="10"/>
  <c r="Y90" i="10"/>
  <c r="Z90" i="10"/>
  <c r="AA90" i="10"/>
  <c r="Y91" i="10"/>
  <c r="Z91" i="10"/>
  <c r="AA91" i="10"/>
  <c r="Y92" i="10"/>
  <c r="Z92" i="10"/>
  <c r="AA92" i="10"/>
  <c r="Y93" i="10"/>
  <c r="Z93" i="10"/>
  <c r="AA93" i="10"/>
  <c r="Y94" i="10"/>
  <c r="Z94" i="10"/>
  <c r="AA94" i="10"/>
  <c r="Y95" i="10"/>
  <c r="Z95" i="10"/>
  <c r="AA95" i="10"/>
  <c r="Y96" i="10"/>
  <c r="Z96" i="10"/>
  <c r="AA96" i="10"/>
  <c r="Y97" i="10"/>
  <c r="Z97" i="10"/>
  <c r="AA97" i="10"/>
  <c r="Y98" i="10"/>
  <c r="Z98" i="10"/>
  <c r="AA98" i="10"/>
  <c r="Y99" i="10"/>
  <c r="Z99" i="10"/>
  <c r="AA99" i="10"/>
  <c r="Y100" i="10"/>
  <c r="Z100" i="10"/>
  <c r="AA100" i="10"/>
  <c r="Y101" i="10"/>
  <c r="Z101" i="10"/>
  <c r="AA101" i="10"/>
  <c r="Y102" i="10"/>
  <c r="Z102" i="10"/>
  <c r="AA102" i="10"/>
  <c r="Y103" i="10"/>
  <c r="Z103" i="10"/>
  <c r="AA103" i="10"/>
  <c r="Y104" i="10"/>
  <c r="Z104" i="10"/>
  <c r="AA104" i="10"/>
  <c r="Y105" i="10"/>
  <c r="Z105" i="10"/>
  <c r="AA105" i="10"/>
  <c r="Y106" i="10"/>
  <c r="Z106" i="10"/>
  <c r="AA106" i="10"/>
  <c r="Y107" i="10"/>
  <c r="Z107" i="10"/>
  <c r="AA107" i="10"/>
  <c r="Y108" i="10"/>
  <c r="Z108" i="10"/>
  <c r="AA108" i="10"/>
  <c r="Y109" i="10"/>
  <c r="Z109" i="10"/>
  <c r="AA109" i="10"/>
  <c r="Y110" i="10"/>
  <c r="Z110" i="10"/>
  <c r="AA110" i="10"/>
  <c r="Y111" i="10"/>
  <c r="Z111" i="10"/>
  <c r="AA111" i="10"/>
  <c r="Y112" i="10"/>
  <c r="Z112" i="10"/>
  <c r="AA112" i="10"/>
  <c r="Y113" i="10"/>
  <c r="Z113" i="10"/>
  <c r="AA113" i="10"/>
  <c r="Y114" i="10"/>
  <c r="Z114" i="10"/>
  <c r="AA114" i="10"/>
  <c r="Y115" i="10"/>
  <c r="Z115" i="10"/>
  <c r="AA115" i="10"/>
  <c r="Y116" i="10"/>
  <c r="Z116" i="10"/>
  <c r="AA116" i="10"/>
  <c r="Y117" i="10"/>
  <c r="Z117" i="10"/>
  <c r="AA117" i="10"/>
  <c r="Y118" i="10"/>
  <c r="Z118" i="10"/>
  <c r="AA118" i="10"/>
  <c r="Y119" i="10"/>
  <c r="Z119" i="10"/>
  <c r="AA119" i="10"/>
  <c r="Y120" i="10"/>
  <c r="Z120" i="10"/>
  <c r="AA120" i="10"/>
  <c r="Y122" i="10"/>
  <c r="Z122" i="10"/>
  <c r="AA122" i="10"/>
  <c r="Y123" i="10"/>
  <c r="Z123" i="10"/>
  <c r="AA123" i="10"/>
  <c r="Y124" i="10"/>
  <c r="Z124" i="10"/>
  <c r="AA124" i="10"/>
  <c r="Y125" i="10"/>
  <c r="Z125" i="10"/>
  <c r="AA125" i="10"/>
  <c r="Y126" i="10"/>
  <c r="Z126" i="10"/>
  <c r="AA126" i="10"/>
  <c r="Y127" i="10"/>
  <c r="Z127" i="10"/>
  <c r="AA127" i="10"/>
  <c r="Y128" i="10"/>
  <c r="Z128" i="10"/>
  <c r="AA128" i="10"/>
  <c r="Y129" i="10"/>
  <c r="Z129" i="10"/>
  <c r="AA129" i="10"/>
  <c r="Y131" i="10"/>
  <c r="Z131" i="10"/>
  <c r="AA131" i="10"/>
  <c r="Y132" i="10"/>
  <c r="Z132" i="10"/>
  <c r="AA132" i="10"/>
  <c r="Y133" i="10"/>
  <c r="Z133" i="10"/>
  <c r="AA133" i="10"/>
  <c r="Y134" i="10"/>
  <c r="Z134" i="10"/>
  <c r="AA134" i="10"/>
  <c r="Y135" i="10"/>
  <c r="Z135" i="10"/>
  <c r="AA135" i="10"/>
  <c r="Y136" i="10"/>
  <c r="Z136" i="10"/>
  <c r="AA136" i="10"/>
  <c r="Y137" i="10"/>
  <c r="Z137" i="10"/>
  <c r="AA137" i="10"/>
  <c r="Y138" i="10"/>
  <c r="Z138" i="10"/>
  <c r="AA138" i="10"/>
  <c r="Y139" i="10"/>
  <c r="Z139" i="10"/>
  <c r="AA139" i="10"/>
  <c r="Y140" i="10"/>
  <c r="Z140" i="10"/>
  <c r="AA140" i="10"/>
  <c r="Y142" i="10"/>
  <c r="Z142" i="10"/>
  <c r="AA142" i="10"/>
  <c r="Y143" i="10"/>
  <c r="Z143" i="10"/>
  <c r="AA143" i="10"/>
  <c r="Y144" i="10"/>
  <c r="Z144" i="10"/>
  <c r="AA144" i="10"/>
  <c r="Y145" i="10"/>
  <c r="Z145" i="10"/>
  <c r="AA145" i="10"/>
  <c r="Y146" i="10"/>
  <c r="Z146" i="10"/>
  <c r="AA146" i="10"/>
  <c r="Y147" i="10"/>
  <c r="Z147" i="10"/>
  <c r="AA147" i="10"/>
  <c r="Y148" i="10"/>
  <c r="Z148" i="10"/>
  <c r="AA148" i="10"/>
  <c r="Y149" i="10"/>
  <c r="Z149" i="10"/>
  <c r="AA149" i="10"/>
  <c r="Y150" i="10"/>
  <c r="Z150" i="10"/>
  <c r="AA150" i="10"/>
  <c r="Y151" i="10"/>
  <c r="Z151" i="10"/>
  <c r="AA151" i="10"/>
  <c r="Y152" i="10"/>
  <c r="Z152" i="10"/>
  <c r="AA152" i="10"/>
  <c r="Y153" i="10"/>
  <c r="Z153" i="10"/>
  <c r="AA153" i="10"/>
  <c r="Y154" i="10"/>
  <c r="Z154" i="10"/>
  <c r="AA154" i="10"/>
  <c r="Y155" i="10"/>
  <c r="Z155" i="10"/>
  <c r="AA155" i="10"/>
  <c r="Y156" i="10"/>
  <c r="Z156" i="10"/>
  <c r="AA156" i="10"/>
  <c r="Y157" i="10"/>
  <c r="Z157" i="10"/>
  <c r="AA157" i="10"/>
  <c r="Y158" i="10"/>
  <c r="Z158" i="10"/>
  <c r="AA158" i="10"/>
  <c r="Y159" i="10"/>
  <c r="Z159" i="10"/>
  <c r="AA159" i="10"/>
  <c r="Y160" i="10"/>
  <c r="Z160" i="10"/>
  <c r="AA160" i="10"/>
  <c r="Y161" i="10"/>
  <c r="Z161" i="10"/>
  <c r="AA161" i="10"/>
  <c r="Y162" i="10"/>
  <c r="Z162" i="10"/>
  <c r="AA162" i="10"/>
  <c r="Y163" i="10"/>
  <c r="Z163" i="10"/>
  <c r="AA163" i="10"/>
  <c r="Y165" i="10"/>
  <c r="Z165" i="10"/>
  <c r="AA165" i="10"/>
  <c r="Y166" i="10"/>
  <c r="Z166" i="10"/>
  <c r="AA166" i="10"/>
  <c r="Y167" i="10"/>
  <c r="Z167" i="10"/>
  <c r="AA167" i="10"/>
  <c r="Y168" i="10"/>
  <c r="Z168" i="10"/>
  <c r="AA168" i="10"/>
  <c r="Y170" i="10"/>
  <c r="Z170" i="10"/>
  <c r="AA170" i="10"/>
  <c r="Y171" i="10"/>
  <c r="Z171" i="10"/>
  <c r="AA171" i="10"/>
  <c r="Y172" i="10"/>
  <c r="Z172" i="10"/>
  <c r="AA172" i="10"/>
  <c r="Y173" i="10"/>
  <c r="Z173" i="10"/>
  <c r="AA173" i="10"/>
  <c r="Y174" i="10"/>
  <c r="Z174" i="10"/>
  <c r="AA174" i="10"/>
  <c r="Y175" i="10"/>
  <c r="Z175" i="10"/>
  <c r="AA175" i="10"/>
  <c r="Y176" i="10"/>
  <c r="Z176" i="10"/>
  <c r="AA176" i="10"/>
  <c r="Y177" i="10"/>
  <c r="Z177" i="10"/>
  <c r="AA177" i="10"/>
  <c r="Y178" i="10"/>
  <c r="Z178" i="10"/>
  <c r="AA178" i="10"/>
  <c r="Y180" i="10"/>
  <c r="Z180" i="10"/>
  <c r="AA180" i="10"/>
  <c r="Y181" i="10"/>
  <c r="Z181" i="10"/>
  <c r="AA181" i="10"/>
  <c r="Y182" i="10"/>
  <c r="Z182" i="10"/>
  <c r="AA182" i="10"/>
  <c r="Y183" i="10"/>
  <c r="Z183" i="10"/>
  <c r="AA183" i="10"/>
  <c r="Y184" i="10"/>
  <c r="Z184" i="10"/>
  <c r="AA184" i="10"/>
  <c r="Y185" i="10"/>
  <c r="Z185" i="10"/>
  <c r="AA185" i="10"/>
  <c r="Y186" i="10"/>
  <c r="Z186" i="10"/>
  <c r="AA186" i="10"/>
  <c r="Y187" i="10"/>
  <c r="Z187" i="10"/>
  <c r="AA187" i="10"/>
  <c r="Y188" i="10"/>
  <c r="Z188" i="10"/>
  <c r="AA188" i="10"/>
  <c r="Y189" i="10"/>
  <c r="Z189" i="10"/>
  <c r="AA189" i="10"/>
  <c r="Y190" i="10"/>
  <c r="Z190" i="10"/>
  <c r="AA190" i="10"/>
  <c r="Y191" i="10"/>
  <c r="Z191" i="10"/>
  <c r="AA191" i="10"/>
  <c r="Y192" i="10"/>
  <c r="Z192" i="10"/>
  <c r="AA192" i="10"/>
  <c r="Y193" i="10"/>
  <c r="Z193" i="10"/>
  <c r="AA193" i="10"/>
  <c r="Y194" i="10"/>
  <c r="Z194" i="10"/>
  <c r="AA194" i="10"/>
  <c r="Y195" i="10"/>
  <c r="Z195" i="10"/>
  <c r="AA195" i="10"/>
  <c r="Y196" i="10"/>
  <c r="Z196" i="10"/>
  <c r="AA196" i="10"/>
  <c r="Y197" i="10"/>
  <c r="Z197" i="10"/>
  <c r="AA197" i="10"/>
  <c r="Y198" i="10"/>
  <c r="Z198" i="10"/>
  <c r="AA198" i="10"/>
  <c r="Y199" i="10"/>
  <c r="Z199" i="10"/>
  <c r="AA199" i="10"/>
  <c r="Y200" i="10"/>
  <c r="Z200" i="10"/>
  <c r="AA200" i="10"/>
  <c r="Y201" i="10"/>
  <c r="Z201" i="10"/>
  <c r="AA201" i="10"/>
  <c r="Y202" i="10"/>
  <c r="Z202" i="10"/>
  <c r="AA202" i="10"/>
  <c r="Y203" i="10"/>
  <c r="Z203" i="10"/>
  <c r="AA203" i="10"/>
  <c r="Y204" i="10"/>
  <c r="Z204" i="10"/>
  <c r="AA204" i="10"/>
  <c r="Y205" i="10"/>
  <c r="Z205" i="10"/>
  <c r="AA205" i="10"/>
  <c r="Y206" i="10"/>
  <c r="Z206" i="10"/>
  <c r="AA206" i="10"/>
  <c r="Y207" i="10"/>
  <c r="Z207" i="10"/>
  <c r="AA207" i="10"/>
  <c r="Y208" i="10"/>
  <c r="Z208" i="10"/>
  <c r="AA208" i="10"/>
  <c r="Y209" i="10"/>
  <c r="Z209" i="10"/>
  <c r="AA209" i="10"/>
  <c r="Y210" i="10"/>
  <c r="Z210" i="10"/>
  <c r="AA210" i="10"/>
  <c r="Y211" i="10"/>
  <c r="Z211" i="10"/>
  <c r="AA211" i="10"/>
  <c r="Y213" i="10"/>
  <c r="Z213" i="10"/>
  <c r="AA213" i="10"/>
  <c r="Y214" i="10"/>
  <c r="Z214" i="10"/>
  <c r="AA214" i="10"/>
  <c r="Y215" i="10"/>
  <c r="Z215" i="10"/>
  <c r="AA215" i="10"/>
  <c r="Y216" i="10"/>
  <c r="Z216" i="10"/>
  <c r="AA216" i="10"/>
  <c r="Y217" i="10"/>
  <c r="Z217" i="10"/>
  <c r="AA217" i="10"/>
  <c r="Y218" i="10"/>
  <c r="Z218" i="10"/>
  <c r="AA218" i="10"/>
  <c r="Y219" i="10"/>
  <c r="Z219" i="10"/>
  <c r="AA219" i="10"/>
  <c r="Y220" i="10"/>
  <c r="Z220" i="10"/>
  <c r="AA220" i="10"/>
  <c r="Y221" i="10"/>
  <c r="Z221" i="10"/>
  <c r="AA221" i="10"/>
  <c r="Y224" i="10"/>
  <c r="Z224" i="10"/>
  <c r="AA224" i="10"/>
  <c r="Y225" i="10"/>
  <c r="Z225" i="10"/>
  <c r="AA225" i="10"/>
  <c r="Y226" i="10"/>
  <c r="Z226" i="10"/>
  <c r="AA226" i="10"/>
  <c r="Y227" i="10"/>
  <c r="Z227" i="10"/>
  <c r="AA227" i="10"/>
  <c r="Y228" i="10"/>
  <c r="Z228" i="10"/>
  <c r="AA228" i="10"/>
  <c r="Y230" i="10"/>
  <c r="Z230" i="10"/>
  <c r="AA230" i="10"/>
  <c r="Y231" i="10"/>
  <c r="Z231" i="10"/>
  <c r="AA231" i="10"/>
  <c r="Y232" i="10"/>
  <c r="Z232" i="10"/>
  <c r="AA232" i="10"/>
  <c r="Y233" i="10"/>
  <c r="Z233" i="10"/>
  <c r="AA233" i="10"/>
  <c r="Y234" i="10"/>
  <c r="Z234" i="10"/>
  <c r="AA234" i="10"/>
  <c r="Y235" i="10"/>
  <c r="Z235" i="10"/>
  <c r="AA235" i="10"/>
  <c r="Y236" i="10"/>
  <c r="Z236" i="10"/>
  <c r="AA236" i="10"/>
  <c r="Y237" i="10"/>
  <c r="Z237" i="10"/>
  <c r="AA237" i="10"/>
  <c r="Y238" i="10"/>
  <c r="Z238" i="10"/>
  <c r="AA238" i="10"/>
  <c r="Y239" i="10"/>
  <c r="Z239" i="10"/>
  <c r="AA239" i="10"/>
  <c r="Y240" i="10"/>
  <c r="Z240" i="10"/>
  <c r="AA240" i="10"/>
  <c r="Y242" i="10"/>
  <c r="Z242" i="10"/>
  <c r="AA242" i="10"/>
  <c r="Y243" i="10"/>
  <c r="Z243" i="10"/>
  <c r="AA243" i="10"/>
  <c r="Y244" i="10"/>
  <c r="Z244" i="10"/>
  <c r="AA244" i="10"/>
  <c r="Y245" i="10"/>
  <c r="Z245" i="10"/>
  <c r="AA245" i="10"/>
  <c r="Y246" i="10"/>
  <c r="Z246" i="10"/>
  <c r="AA246" i="10"/>
  <c r="Y247" i="10"/>
  <c r="Z247" i="10"/>
  <c r="AA247" i="10"/>
  <c r="Y248" i="10"/>
  <c r="Z248" i="10"/>
  <c r="AA248" i="10"/>
  <c r="Y249" i="10"/>
  <c r="Z249" i="10"/>
  <c r="AA249" i="10"/>
  <c r="Y250" i="10"/>
  <c r="Z250" i="10"/>
  <c r="AA250" i="10"/>
  <c r="Y252" i="10"/>
  <c r="Z252" i="10"/>
  <c r="AA252" i="10"/>
  <c r="Y253" i="10"/>
  <c r="Z253" i="10"/>
  <c r="AA253" i="10"/>
  <c r="Y254" i="10"/>
  <c r="Z254" i="10"/>
  <c r="AA254" i="10"/>
  <c r="Y255" i="10"/>
  <c r="Z255" i="10"/>
  <c r="AA255" i="10"/>
  <c r="Y256" i="10"/>
  <c r="Z256" i="10"/>
  <c r="AA256" i="10"/>
  <c r="Y257" i="10"/>
  <c r="Z257" i="10"/>
  <c r="AA257" i="10"/>
  <c r="Y258" i="10"/>
  <c r="Z258" i="10"/>
  <c r="AA258" i="10"/>
  <c r="Y259" i="10"/>
  <c r="Z259" i="10"/>
  <c r="AA259" i="10"/>
  <c r="Y261" i="10"/>
  <c r="Z261" i="10"/>
  <c r="AA261" i="10"/>
  <c r="Y262" i="10"/>
  <c r="Z262" i="10"/>
  <c r="AA262" i="10"/>
  <c r="Y263" i="10"/>
  <c r="Z263" i="10"/>
  <c r="AA263" i="10"/>
  <c r="Y265" i="10"/>
  <c r="Z265" i="10"/>
  <c r="AA265" i="10"/>
  <c r="Y266" i="10"/>
  <c r="Z266" i="10"/>
  <c r="AA266" i="10"/>
  <c r="Y267" i="10"/>
  <c r="Z267" i="10"/>
  <c r="AA267" i="10"/>
  <c r="Y268" i="10"/>
  <c r="Z268" i="10"/>
  <c r="AA268" i="10"/>
  <c r="Y269" i="10"/>
  <c r="Z269" i="10"/>
  <c r="AA269" i="10"/>
  <c r="Y270" i="10"/>
  <c r="Z270" i="10"/>
  <c r="AA270" i="10"/>
  <c r="Y271" i="10"/>
  <c r="Z271" i="10"/>
  <c r="AA271" i="10"/>
  <c r="Y272" i="10"/>
  <c r="Z272" i="10"/>
  <c r="AA272" i="10"/>
  <c r="Y274" i="10"/>
  <c r="Z274" i="10"/>
  <c r="AA274" i="10"/>
  <c r="Y275" i="10"/>
  <c r="Z275" i="10"/>
  <c r="AA275" i="10"/>
  <c r="Y277" i="10"/>
  <c r="Z277" i="10"/>
  <c r="AA277" i="10"/>
  <c r="Y278" i="10"/>
  <c r="Z278" i="10"/>
  <c r="AA278" i="10"/>
  <c r="Y279" i="10"/>
  <c r="Z279" i="10"/>
  <c r="AA279" i="10"/>
  <c r="Y280" i="10"/>
  <c r="Z280" i="10"/>
  <c r="AA280" i="10"/>
  <c r="Y281" i="10"/>
  <c r="Z281" i="10"/>
  <c r="AA281" i="10"/>
  <c r="Y276" i="10"/>
  <c r="Z276" i="10"/>
  <c r="AA276" i="10"/>
  <c r="Y282" i="10"/>
  <c r="Z282" i="10"/>
  <c r="AA282" i="10"/>
  <c r="Y284" i="10"/>
  <c r="Z284" i="10"/>
  <c r="AA284" i="10"/>
  <c r="Y285" i="10"/>
  <c r="Z285" i="10"/>
  <c r="AA285" i="10"/>
  <c r="Y286" i="10"/>
  <c r="Z286" i="10"/>
  <c r="AA286" i="10"/>
  <c r="Y287" i="10"/>
  <c r="Z287" i="10"/>
  <c r="AA287" i="10"/>
  <c r="Y288" i="10"/>
  <c r="Z288" i="10"/>
  <c r="AA288" i="10"/>
  <c r="Y290" i="10"/>
  <c r="Z290" i="10"/>
  <c r="AA290" i="10"/>
  <c r="Y291" i="10"/>
  <c r="Z291" i="10"/>
  <c r="AA291" i="10"/>
  <c r="Y292" i="10"/>
  <c r="Z292" i="10"/>
  <c r="AA292" i="10"/>
  <c r="Y293" i="10"/>
  <c r="Z293" i="10"/>
  <c r="AA293" i="10"/>
  <c r="Y294" i="10"/>
  <c r="Z294" i="10"/>
  <c r="AA294" i="10"/>
  <c r="Y295" i="10"/>
  <c r="Z295" i="10"/>
  <c r="AA295" i="10"/>
  <c r="Y296" i="10"/>
  <c r="Z296" i="10"/>
  <c r="AA296" i="10"/>
  <c r="Y297" i="10"/>
  <c r="Z297" i="10"/>
  <c r="AA297" i="10"/>
  <c r="Y298" i="10"/>
  <c r="Z298" i="10"/>
  <c r="AA298" i="10"/>
  <c r="Y299" i="10"/>
  <c r="Z299" i="10"/>
  <c r="AA299" i="10"/>
  <c r="Y300" i="10"/>
  <c r="Z300" i="10"/>
  <c r="AA300" i="10"/>
  <c r="Y301" i="10"/>
  <c r="Z301" i="10"/>
  <c r="AA301" i="10"/>
  <c r="Y302" i="10"/>
  <c r="Z302" i="10"/>
  <c r="AA302" i="10"/>
  <c r="Y303" i="10"/>
  <c r="Z303" i="10"/>
  <c r="AA303" i="10"/>
  <c r="Y304" i="10"/>
  <c r="Z304" i="10"/>
  <c r="AA304" i="10"/>
  <c r="Y305" i="10"/>
  <c r="Z305" i="10"/>
  <c r="AA305" i="10"/>
  <c r="Y307" i="10"/>
  <c r="Z307" i="10"/>
  <c r="AA307" i="10"/>
  <c r="Y308" i="10"/>
  <c r="Z308" i="10"/>
  <c r="AA308" i="10"/>
  <c r="Y309" i="10"/>
  <c r="Z309" i="10"/>
  <c r="AA309" i="10"/>
  <c r="Y310" i="10"/>
  <c r="Z310" i="10"/>
  <c r="AA310" i="10"/>
  <c r="Y311" i="10"/>
  <c r="Z311" i="10"/>
  <c r="AA311" i="10"/>
  <c r="Y312" i="10"/>
  <c r="Z312" i="10"/>
  <c r="AA312" i="10"/>
  <c r="Y313" i="10"/>
  <c r="Z313" i="10"/>
  <c r="AA313" i="10"/>
  <c r="Y314" i="10"/>
  <c r="Z314" i="10"/>
  <c r="AA314" i="10"/>
  <c r="Y315" i="10"/>
  <c r="Z315" i="10"/>
  <c r="AA315" i="10"/>
  <c r="Y316" i="10"/>
  <c r="Z316" i="10"/>
  <c r="AA316" i="10"/>
  <c r="Y317" i="10"/>
  <c r="Z317" i="10"/>
  <c r="AA317" i="10"/>
  <c r="Y318" i="10"/>
  <c r="Z318" i="10"/>
  <c r="AA318" i="10"/>
  <c r="Y319" i="10"/>
  <c r="Z319" i="10"/>
  <c r="AA319" i="10"/>
  <c r="Y320" i="10"/>
  <c r="Z320" i="10"/>
  <c r="AA320" i="10"/>
  <c r="Y321" i="10"/>
  <c r="Z321" i="10"/>
  <c r="AA321" i="10"/>
  <c r="Y322" i="10"/>
  <c r="Z322" i="10"/>
  <c r="AA322" i="10"/>
  <c r="Y323" i="10"/>
  <c r="Z323" i="10"/>
  <c r="AA323" i="10"/>
  <c r="Y324" i="10"/>
  <c r="Z324" i="10"/>
  <c r="AA324" i="10"/>
  <c r="Y325" i="10"/>
  <c r="Z325" i="10"/>
  <c r="AA325" i="10"/>
  <c r="Y326" i="10"/>
  <c r="Z326" i="10"/>
  <c r="AA326" i="10"/>
  <c r="Y327" i="10"/>
  <c r="Z327" i="10"/>
  <c r="AA327" i="10"/>
  <c r="Y328" i="10"/>
  <c r="Z328" i="10"/>
  <c r="AA328" i="10"/>
  <c r="Y329" i="10"/>
  <c r="Z329" i="10"/>
  <c r="AA329" i="10"/>
  <c r="Y330" i="10"/>
  <c r="Z330" i="10"/>
  <c r="AA330" i="10"/>
  <c r="Y331" i="10"/>
  <c r="Z331" i="10"/>
  <c r="AA331" i="10"/>
  <c r="Y332" i="10"/>
  <c r="Z332" i="10"/>
  <c r="AA332" i="10"/>
  <c r="Y333" i="10"/>
  <c r="Z333" i="10"/>
  <c r="AA333" i="10"/>
  <c r="Y334" i="10"/>
  <c r="Z334" i="10"/>
  <c r="AA334" i="10"/>
  <c r="Y335" i="10"/>
  <c r="Z335" i="10"/>
  <c r="AA335" i="10"/>
  <c r="Y336" i="10"/>
  <c r="Z336" i="10"/>
  <c r="AA336" i="10"/>
  <c r="Y337" i="10"/>
  <c r="Z337" i="10"/>
  <c r="AA337" i="10"/>
  <c r="Y338" i="10"/>
  <c r="Z338" i="10"/>
  <c r="AA338" i="10"/>
  <c r="Y339" i="10"/>
  <c r="Z339" i="10"/>
  <c r="AA339" i="10"/>
  <c r="Y340" i="10"/>
  <c r="Z340" i="10"/>
  <c r="AA340" i="10"/>
  <c r="Y341" i="10"/>
  <c r="Z341" i="10"/>
  <c r="AA341" i="10"/>
  <c r="Y342" i="10"/>
  <c r="Z342" i="10"/>
  <c r="AA342" i="10"/>
  <c r="Y343" i="10"/>
  <c r="Z343" i="10"/>
  <c r="AA343" i="10"/>
  <c r="Y344" i="10"/>
  <c r="Z344" i="10"/>
  <c r="AA344" i="10"/>
  <c r="Y345" i="10"/>
  <c r="Z345" i="10"/>
  <c r="AA345" i="10"/>
  <c r="Y347" i="10"/>
  <c r="Z347" i="10"/>
  <c r="AA347" i="10"/>
  <c r="Y349" i="10"/>
  <c r="Z349" i="10"/>
  <c r="AA349" i="10"/>
  <c r="Y350" i="10"/>
  <c r="Z350" i="10"/>
  <c r="AA350" i="10"/>
  <c r="Y351" i="10"/>
  <c r="Z351" i="10"/>
  <c r="AA351" i="10"/>
  <c r="Y352" i="10"/>
  <c r="Z352" i="10"/>
  <c r="AA352" i="10"/>
  <c r="Y353" i="10"/>
  <c r="Z353" i="10"/>
  <c r="AA353" i="10"/>
  <c r="Y354" i="10"/>
  <c r="Z354" i="10"/>
  <c r="AA354" i="10"/>
  <c r="Y355" i="10"/>
  <c r="Z355" i="10"/>
  <c r="AA355" i="10"/>
  <c r="Y356" i="10"/>
  <c r="Z356" i="10"/>
  <c r="AA356" i="10"/>
  <c r="Y357" i="10"/>
  <c r="Z357" i="10"/>
  <c r="AA357" i="10"/>
  <c r="Y358" i="10"/>
  <c r="Z358" i="10"/>
  <c r="AA358" i="10"/>
  <c r="Y359" i="10"/>
  <c r="Z359" i="10"/>
  <c r="AA359" i="10"/>
  <c r="Y360" i="10"/>
  <c r="Z360" i="10"/>
  <c r="AA360" i="10"/>
  <c r="Y361" i="10"/>
  <c r="Z361" i="10"/>
  <c r="AA361" i="10"/>
  <c r="Y362" i="10"/>
  <c r="Z362" i="10"/>
  <c r="AA362" i="10"/>
  <c r="Y363" i="10"/>
  <c r="Z363" i="10"/>
  <c r="AA363" i="10"/>
  <c r="Y364" i="10"/>
  <c r="Z364" i="10"/>
  <c r="AA364" i="10"/>
  <c r="Y365" i="10"/>
  <c r="Z365" i="10"/>
  <c r="AA365" i="10"/>
  <c r="Y367" i="10"/>
  <c r="Z367" i="10"/>
  <c r="AA367" i="10"/>
  <c r="Y368" i="10"/>
  <c r="Z368" i="10"/>
  <c r="AA368" i="10"/>
  <c r="Y369" i="10"/>
  <c r="Z369" i="10"/>
  <c r="AA369" i="10"/>
  <c r="Y370" i="10"/>
  <c r="Z370" i="10"/>
  <c r="AA370" i="10"/>
  <c r="Y371" i="10"/>
  <c r="Z371" i="10"/>
  <c r="AA371" i="10"/>
  <c r="Y372" i="10"/>
  <c r="Z372" i="10"/>
  <c r="AA372" i="10"/>
  <c r="Y373" i="10"/>
  <c r="Z373" i="10"/>
  <c r="AA373" i="10"/>
  <c r="Y374" i="10"/>
  <c r="Z374" i="10"/>
  <c r="AA374" i="10"/>
  <c r="Y375" i="10"/>
  <c r="Z375" i="10"/>
  <c r="AA375" i="10"/>
  <c r="Y376" i="10"/>
  <c r="Z376" i="10"/>
  <c r="AA376" i="10"/>
  <c r="Y377" i="10"/>
  <c r="Z377" i="10"/>
  <c r="AA377" i="10"/>
  <c r="Y378" i="10"/>
  <c r="Z378" i="10"/>
  <c r="AA378" i="10"/>
  <c r="Y379" i="10"/>
  <c r="Z379" i="10"/>
  <c r="AA379" i="10"/>
  <c r="Y380" i="10"/>
  <c r="Z380" i="10"/>
  <c r="AA380" i="10"/>
  <c r="Y381" i="10"/>
  <c r="Z381" i="10"/>
  <c r="AA381" i="10"/>
  <c r="Y382" i="10"/>
  <c r="Z382" i="10"/>
  <c r="AA382" i="10"/>
  <c r="Y383" i="10"/>
  <c r="Z383" i="10"/>
  <c r="AA383" i="10"/>
  <c r="Y384" i="10"/>
  <c r="Z384" i="10"/>
  <c r="AA384" i="10"/>
  <c r="Y385" i="10"/>
  <c r="Z385" i="10"/>
  <c r="AA385" i="10"/>
  <c r="Y386" i="10"/>
  <c r="Z386" i="10"/>
  <c r="AA386" i="10"/>
  <c r="Y387" i="10"/>
  <c r="Z387" i="10"/>
  <c r="AA387" i="10"/>
  <c r="Y388" i="10"/>
  <c r="Z388" i="10"/>
  <c r="AA388" i="10"/>
  <c r="Y389" i="10"/>
  <c r="Z389" i="10"/>
  <c r="AA389" i="10"/>
  <c r="Y392" i="10"/>
  <c r="Z392" i="10"/>
  <c r="AA392" i="10"/>
  <c r="Y390" i="10"/>
  <c r="Z390" i="10"/>
  <c r="AA390" i="10"/>
  <c r="Y391" i="10"/>
  <c r="Z391" i="10"/>
  <c r="AA391" i="10"/>
  <c r="Y393" i="10"/>
  <c r="Z393" i="10"/>
  <c r="AA393" i="10"/>
  <c r="Y394" i="10"/>
  <c r="Z394" i="10"/>
  <c r="AA394" i="10"/>
  <c r="Y395" i="10"/>
  <c r="Z395" i="10"/>
  <c r="AA395" i="10"/>
  <c r="Y396" i="10"/>
  <c r="Z396" i="10"/>
  <c r="AA396" i="10"/>
  <c r="Y397" i="10"/>
  <c r="Z397" i="10"/>
  <c r="AA397" i="10"/>
  <c r="Y398" i="10"/>
  <c r="Z398" i="10"/>
  <c r="AA398" i="10"/>
  <c r="Y400" i="10"/>
  <c r="Z400" i="10"/>
  <c r="AA400" i="10"/>
  <c r="Y401" i="10"/>
  <c r="Z401" i="10"/>
  <c r="AA401" i="10"/>
  <c r="Y399" i="10"/>
  <c r="Z399" i="10"/>
  <c r="AA399" i="10"/>
  <c r="Y402" i="10"/>
  <c r="Z402" i="10"/>
  <c r="AA402" i="10"/>
  <c r="Y403" i="10"/>
  <c r="Z403" i="10"/>
  <c r="AA403" i="10"/>
  <c r="Y404" i="10"/>
  <c r="Z404" i="10"/>
  <c r="AA404" i="10"/>
  <c r="Y405" i="10"/>
  <c r="Z405" i="10"/>
  <c r="AA405" i="10"/>
  <c r="Y406" i="10"/>
  <c r="Z406" i="10"/>
  <c r="AA406" i="10"/>
  <c r="Y407" i="10"/>
  <c r="Z407" i="10"/>
  <c r="AA407" i="10"/>
  <c r="Y408" i="10"/>
  <c r="Z408" i="10"/>
  <c r="AA408" i="10"/>
  <c r="Y409" i="10"/>
  <c r="Z409" i="10"/>
  <c r="AA409" i="10"/>
  <c r="Y410" i="10"/>
  <c r="Z410" i="10"/>
  <c r="AA410" i="10"/>
  <c r="Y411" i="10"/>
  <c r="Z411" i="10"/>
  <c r="AA411" i="10"/>
  <c r="Y412" i="10"/>
  <c r="Z412" i="10"/>
  <c r="AA412" i="10"/>
  <c r="Y413" i="10"/>
  <c r="Z413" i="10"/>
  <c r="AA413" i="10"/>
  <c r="Y414" i="10"/>
  <c r="Z414" i="10"/>
  <c r="AA414" i="10"/>
  <c r="Y415" i="10"/>
  <c r="Z415" i="10"/>
  <c r="AA415" i="10"/>
  <c r="Y416" i="10"/>
  <c r="Z416" i="10"/>
  <c r="AA416" i="10"/>
  <c r="Y417" i="10"/>
  <c r="Z417" i="10"/>
  <c r="AA417" i="10"/>
  <c r="Y418" i="10"/>
  <c r="Z418" i="10"/>
  <c r="AA418" i="10"/>
  <c r="Y419" i="10"/>
  <c r="Z419" i="10"/>
  <c r="AA419" i="10"/>
  <c r="Y420" i="10"/>
  <c r="Z420" i="10"/>
  <c r="AA420" i="10"/>
  <c r="Y421" i="10"/>
  <c r="Z421" i="10"/>
  <c r="AA421" i="10"/>
  <c r="Y422" i="10"/>
  <c r="Z422" i="10"/>
  <c r="AA422" i="10"/>
  <c r="Y423" i="10"/>
  <c r="Z423" i="10"/>
  <c r="AA423" i="10"/>
  <c r="Y424" i="10"/>
  <c r="Z424" i="10"/>
  <c r="AA424" i="10"/>
  <c r="Y425" i="10"/>
  <c r="Z425" i="10"/>
  <c r="AA425" i="10"/>
  <c r="Y426" i="10"/>
  <c r="Z426" i="10"/>
  <c r="AA426" i="10"/>
  <c r="Y427" i="10"/>
  <c r="Z427" i="10"/>
  <c r="AA427" i="10"/>
  <c r="Y428" i="10"/>
  <c r="Z428" i="10"/>
  <c r="AA428" i="10"/>
  <c r="Y429" i="10"/>
  <c r="Z429" i="10"/>
  <c r="AA429" i="10"/>
  <c r="Y430" i="10"/>
  <c r="Z430" i="10"/>
  <c r="AA430" i="10"/>
  <c r="Y436" i="10"/>
  <c r="Z436" i="10"/>
  <c r="AA436" i="10"/>
  <c r="Y431" i="10"/>
  <c r="Z431" i="10"/>
  <c r="AA431" i="10"/>
  <c r="Y432" i="10"/>
  <c r="Z432" i="10"/>
  <c r="AA432" i="10"/>
  <c r="Y433" i="10"/>
  <c r="Z433" i="10"/>
  <c r="AA433" i="10"/>
  <c r="Y434" i="10"/>
  <c r="Z434" i="10"/>
  <c r="AA434" i="10"/>
  <c r="Y435" i="10"/>
  <c r="Z435" i="10"/>
  <c r="AA435" i="10"/>
  <c r="Y437" i="10"/>
  <c r="Z437" i="10"/>
  <c r="AA437" i="10"/>
  <c r="Y438" i="10"/>
  <c r="Z438" i="10"/>
  <c r="AA438" i="10"/>
  <c r="Y439" i="10"/>
  <c r="Z439" i="10"/>
  <c r="AA439" i="10"/>
  <c r="Y440" i="10"/>
  <c r="Z440" i="10"/>
  <c r="AA440" i="10"/>
  <c r="Y441" i="10"/>
  <c r="Z441" i="10"/>
  <c r="AA441" i="10"/>
  <c r="Y442" i="10"/>
  <c r="Z442" i="10"/>
  <c r="AA442" i="10"/>
  <c r="Y444" i="10"/>
  <c r="Z444" i="10"/>
  <c r="AA444" i="10"/>
  <c r="Y445" i="10"/>
  <c r="Z445" i="10"/>
  <c r="AA445" i="10"/>
  <c r="Y446" i="10"/>
  <c r="Z446" i="10"/>
  <c r="AA446" i="10"/>
  <c r="Y447" i="10"/>
  <c r="Z447" i="10"/>
  <c r="AA447" i="10"/>
  <c r="Y448" i="10"/>
  <c r="Z448" i="10"/>
  <c r="AA448" i="10"/>
  <c r="Y449" i="10"/>
  <c r="Z449" i="10"/>
  <c r="AA449" i="10"/>
  <c r="Y450" i="10"/>
  <c r="Z450" i="10"/>
  <c r="AA450" i="10"/>
  <c r="Y451" i="10"/>
  <c r="Z451" i="10"/>
  <c r="AA451" i="10"/>
  <c r="Y452" i="10"/>
  <c r="Z452" i="10"/>
  <c r="AA452" i="10"/>
  <c r="Y453" i="10"/>
  <c r="Z453" i="10"/>
  <c r="AA453" i="10"/>
  <c r="Y454" i="10"/>
  <c r="Z454" i="10"/>
  <c r="AA454" i="10"/>
  <c r="Y455" i="10"/>
  <c r="Z455" i="10"/>
  <c r="AA455" i="10"/>
  <c r="Y456" i="10"/>
  <c r="Z456" i="10"/>
  <c r="AA456" i="10"/>
  <c r="Y457" i="10"/>
  <c r="Z457" i="10"/>
  <c r="AA457" i="10"/>
  <c r="Y458" i="10"/>
  <c r="Z458" i="10"/>
  <c r="AA458" i="10"/>
  <c r="Y459" i="10"/>
  <c r="Z459" i="10"/>
  <c r="AA459" i="10"/>
  <c r="Y460" i="10"/>
  <c r="Z460" i="10"/>
  <c r="AA460" i="10"/>
  <c r="Y461" i="10"/>
  <c r="Z461" i="10"/>
  <c r="AA461" i="10"/>
  <c r="Y463" i="10"/>
  <c r="Z463" i="10"/>
  <c r="AA463" i="10"/>
  <c r="Y464" i="10"/>
  <c r="Z464" i="10"/>
  <c r="AA464" i="10"/>
  <c r="Y465" i="10"/>
  <c r="Z465" i="10"/>
  <c r="AA465" i="10"/>
  <c r="Y466" i="10"/>
  <c r="Z466" i="10"/>
  <c r="AA466" i="10"/>
  <c r="Y467" i="10"/>
  <c r="Z467" i="10"/>
  <c r="AA467" i="10"/>
  <c r="Y468" i="10"/>
  <c r="Z468" i="10"/>
  <c r="AA468" i="10"/>
  <c r="Y469" i="10"/>
  <c r="Z469" i="10"/>
  <c r="AA469" i="10"/>
  <c r="Y470" i="10"/>
  <c r="Z470" i="10"/>
  <c r="AA470" i="10"/>
  <c r="Y471" i="10"/>
  <c r="Z471" i="10"/>
  <c r="AA471" i="10"/>
  <c r="Y472" i="10"/>
  <c r="Z472" i="10"/>
  <c r="AA472" i="10"/>
  <c r="Y473" i="10"/>
  <c r="Z473" i="10"/>
  <c r="AA473" i="10"/>
  <c r="Y474" i="10"/>
  <c r="Z474" i="10"/>
  <c r="AA474" i="10"/>
  <c r="Y475" i="10"/>
  <c r="Z475" i="10"/>
  <c r="AA475" i="10"/>
  <c r="Y476" i="10"/>
  <c r="Z476" i="10"/>
  <c r="AA476" i="10"/>
  <c r="Y477" i="10"/>
  <c r="Z477" i="10"/>
  <c r="AA477" i="10"/>
  <c r="Y478" i="10"/>
  <c r="Z478" i="10"/>
  <c r="AA478" i="10"/>
  <c r="Y479" i="10"/>
  <c r="Z479" i="10"/>
  <c r="AA479" i="10"/>
  <c r="Y480" i="10"/>
  <c r="Z480" i="10"/>
  <c r="AA480" i="10"/>
  <c r="Y481" i="10"/>
  <c r="Z481" i="10"/>
  <c r="AA481" i="10"/>
  <c r="Y482" i="10"/>
  <c r="Z482" i="10"/>
  <c r="AA482" i="10"/>
  <c r="Y483" i="10"/>
  <c r="Z483" i="10"/>
  <c r="AA483" i="10"/>
  <c r="Y484" i="10"/>
  <c r="Z484" i="10"/>
  <c r="AA484" i="10"/>
  <c r="Y485" i="10"/>
  <c r="Z485" i="10"/>
  <c r="AA485" i="10"/>
  <c r="Y486" i="10"/>
  <c r="Z486" i="10"/>
  <c r="AA486" i="10"/>
  <c r="Y487" i="10"/>
  <c r="Z487" i="10"/>
  <c r="AA487" i="10"/>
  <c r="Y488" i="10"/>
  <c r="Z488" i="10"/>
  <c r="AA488" i="10"/>
  <c r="Y489" i="10"/>
  <c r="Z489" i="10"/>
  <c r="AA489" i="10"/>
  <c r="Y490" i="10"/>
  <c r="Z490" i="10"/>
  <c r="AA490" i="10"/>
  <c r="Y491" i="10"/>
  <c r="Z491" i="10"/>
  <c r="AA491" i="10"/>
  <c r="Y492" i="10"/>
  <c r="Z492" i="10"/>
  <c r="AA492" i="10"/>
  <c r="Y493" i="10"/>
  <c r="Z493" i="10"/>
  <c r="AA493" i="10"/>
  <c r="Y494" i="10"/>
  <c r="Z494" i="10"/>
  <c r="AA494" i="10"/>
  <c r="Y495" i="10"/>
  <c r="Z495" i="10"/>
  <c r="AA495" i="10"/>
  <c r="Y496" i="10"/>
  <c r="Z496" i="10"/>
  <c r="AA496" i="10"/>
  <c r="Y497" i="10"/>
  <c r="Z497" i="10"/>
  <c r="AA497" i="10"/>
  <c r="Y498" i="10"/>
  <c r="Z498" i="10"/>
  <c r="AA498" i="10"/>
  <c r="Y499" i="10"/>
  <c r="Z499" i="10"/>
  <c r="AA499" i="10"/>
  <c r="Y500" i="10"/>
  <c r="Z500" i="10"/>
  <c r="AA500" i="10"/>
  <c r="Y501" i="10"/>
  <c r="Z501" i="10"/>
  <c r="AA501" i="10"/>
  <c r="Y502" i="10"/>
  <c r="Z502" i="10"/>
  <c r="AA502" i="10"/>
  <c r="Y503" i="10"/>
  <c r="Z503" i="10"/>
  <c r="AA503" i="10"/>
  <c r="Y504" i="10"/>
  <c r="Z504" i="10"/>
  <c r="AA504" i="10"/>
  <c r="Y505" i="10"/>
  <c r="Z505" i="10"/>
  <c r="AA505" i="10"/>
  <c r="Y506" i="10"/>
  <c r="Z506" i="10"/>
  <c r="AA506" i="10"/>
  <c r="Y507" i="10"/>
  <c r="Z507" i="10"/>
  <c r="AA507" i="10"/>
  <c r="Y508" i="10"/>
  <c r="Z508" i="10"/>
  <c r="AA508" i="10"/>
  <c r="Y509" i="10"/>
  <c r="Z509" i="10"/>
  <c r="AA509" i="10"/>
  <c r="Y510" i="10"/>
  <c r="Z510" i="10"/>
  <c r="AA510" i="10"/>
  <c r="Y511" i="10"/>
  <c r="Z511" i="10"/>
  <c r="AA511" i="10"/>
  <c r="Y512" i="10"/>
  <c r="Z512" i="10"/>
  <c r="AA512" i="10"/>
  <c r="Y513" i="10"/>
  <c r="Z513" i="10"/>
  <c r="AA513" i="10"/>
  <c r="Y514" i="10"/>
  <c r="Z514" i="10"/>
  <c r="AA514" i="10"/>
  <c r="Y515" i="10"/>
  <c r="Z515" i="10"/>
  <c r="AA515" i="10"/>
  <c r="Y516" i="10"/>
  <c r="Z516" i="10"/>
  <c r="AA516" i="10"/>
  <c r="Y517" i="10"/>
  <c r="Z517" i="10"/>
  <c r="AA517" i="10"/>
  <c r="Y518" i="10"/>
  <c r="Z518" i="10"/>
  <c r="AA518" i="10"/>
  <c r="Y519" i="10"/>
  <c r="Z519" i="10"/>
  <c r="AA519" i="10"/>
  <c r="Y521" i="10"/>
  <c r="Z521" i="10"/>
  <c r="AA521" i="10"/>
  <c r="Y522" i="10"/>
  <c r="Z522" i="10"/>
  <c r="AA522" i="10"/>
  <c r="Y523" i="10"/>
  <c r="Z523" i="10"/>
  <c r="AA523" i="10"/>
  <c r="Y524" i="10"/>
  <c r="Z524" i="10"/>
  <c r="AA524" i="10"/>
  <c r="Y525" i="10"/>
  <c r="Z525" i="10"/>
  <c r="AA525" i="10"/>
  <c r="Y526" i="10"/>
  <c r="Z526" i="10"/>
  <c r="AA526" i="10"/>
  <c r="Y527" i="10"/>
  <c r="Z527" i="10"/>
  <c r="AA527" i="10"/>
  <c r="Y528" i="10"/>
  <c r="Z528" i="10"/>
  <c r="AA528" i="10"/>
  <c r="Y529" i="10"/>
  <c r="Z529" i="10"/>
  <c r="AA529" i="10"/>
  <c r="Y530" i="10"/>
  <c r="Z530" i="10"/>
  <c r="AA530" i="10"/>
  <c r="Y531" i="10"/>
  <c r="Z531" i="10"/>
  <c r="AA531" i="10"/>
  <c r="Y532" i="10"/>
  <c r="Z532" i="10"/>
  <c r="AA532" i="10"/>
  <c r="Y533" i="10"/>
  <c r="Z533" i="10"/>
  <c r="AA533" i="10"/>
  <c r="Y534" i="10"/>
  <c r="Z534" i="10"/>
  <c r="AA534" i="10"/>
  <c r="Y535" i="10"/>
  <c r="Z535" i="10"/>
  <c r="AA535" i="10"/>
  <c r="Y536" i="10"/>
  <c r="Z536" i="10"/>
  <c r="AA536" i="10"/>
  <c r="Y537" i="10"/>
  <c r="Z537" i="10"/>
  <c r="AA537" i="10"/>
  <c r="Y538" i="10"/>
  <c r="Z538" i="10"/>
  <c r="AA538" i="10"/>
  <c r="Y539" i="10"/>
  <c r="Z539" i="10"/>
  <c r="AA539" i="10"/>
  <c r="Y540" i="10"/>
  <c r="Z540" i="10"/>
  <c r="AA540" i="10"/>
  <c r="Y541" i="10"/>
  <c r="Z541" i="10"/>
  <c r="AA541" i="10"/>
  <c r="Y542" i="10"/>
  <c r="Z542" i="10"/>
  <c r="AA542" i="10"/>
  <c r="Y543" i="10"/>
  <c r="Z543" i="10"/>
  <c r="AA543" i="10"/>
  <c r="Y544" i="10"/>
  <c r="Z544" i="10"/>
  <c r="AA544" i="10"/>
  <c r="Y545" i="10"/>
  <c r="Z545" i="10"/>
  <c r="AA545" i="10"/>
  <c r="Y546" i="10"/>
  <c r="Z546" i="10"/>
  <c r="AA546" i="10"/>
  <c r="Y547" i="10"/>
  <c r="Z547" i="10"/>
  <c r="AA547" i="10"/>
  <c r="Y548" i="10"/>
  <c r="Z548" i="10"/>
  <c r="AA548" i="10"/>
  <c r="Y549" i="10"/>
  <c r="Z549" i="10"/>
  <c r="AA549" i="10"/>
  <c r="Y550" i="10"/>
  <c r="Z550" i="10"/>
  <c r="AA550" i="10"/>
  <c r="Y551" i="10"/>
  <c r="Z551" i="10"/>
  <c r="AA551" i="10"/>
  <c r="Y552" i="10"/>
  <c r="Z552" i="10"/>
  <c r="AA552" i="10"/>
  <c r="Y553" i="10"/>
  <c r="Z553" i="10"/>
  <c r="AA553" i="10"/>
  <c r="Y554" i="10"/>
  <c r="Z554" i="10"/>
  <c r="AA554" i="10"/>
  <c r="Y555" i="10"/>
  <c r="Z555" i="10"/>
  <c r="AA555" i="10"/>
  <c r="Y556" i="10"/>
  <c r="Z556" i="10"/>
  <c r="AA556" i="10"/>
  <c r="Y557" i="10"/>
  <c r="Z557" i="10"/>
  <c r="AA557" i="10"/>
  <c r="Y558" i="10"/>
  <c r="Z558" i="10"/>
  <c r="AA558" i="10"/>
  <c r="Y559" i="10"/>
  <c r="Z559" i="10"/>
  <c r="AA559" i="10"/>
  <c r="Y560" i="10"/>
  <c r="Z560" i="10"/>
  <c r="AA560" i="10"/>
  <c r="Y561" i="10"/>
  <c r="Z561" i="10"/>
  <c r="AA561" i="10"/>
  <c r="Y563" i="10"/>
  <c r="Z563" i="10"/>
  <c r="AA563" i="10"/>
  <c r="Y565" i="10"/>
  <c r="Z565" i="10"/>
  <c r="AA565" i="10"/>
  <c r="Y566" i="10"/>
  <c r="Z566" i="10"/>
  <c r="AA566" i="10"/>
  <c r="Y567" i="10"/>
  <c r="Z567" i="10"/>
  <c r="AA567" i="10"/>
  <c r="Y568" i="10"/>
  <c r="Z568" i="10"/>
  <c r="AA568" i="10"/>
  <c r="Y569" i="10"/>
  <c r="Z569" i="10"/>
  <c r="AA569" i="10"/>
  <c r="A570" i="10"/>
  <c r="B570" i="10"/>
  <c r="A571" i="10"/>
  <c r="A572" i="10"/>
  <c r="C3" i="11"/>
  <c r="F3" i="11"/>
  <c r="C4" i="11"/>
  <c r="F4" i="11"/>
  <c r="C5" i="11"/>
  <c r="F5" i="11"/>
  <c r="C6" i="11"/>
  <c r="F6" i="11"/>
  <c r="C7" i="11"/>
  <c r="F7" i="11"/>
  <c r="C8" i="11"/>
  <c r="F8" i="11"/>
  <c r="C9" i="11"/>
  <c r="F9" i="11"/>
  <c r="C10" i="11"/>
  <c r="F10" i="11"/>
  <c r="C11" i="11"/>
  <c r="F11" i="11"/>
  <c r="C12" i="11"/>
  <c r="F12" i="11"/>
  <c r="C13" i="11"/>
  <c r="F13" i="11"/>
  <c r="C14" i="11"/>
  <c r="F14" i="11"/>
  <c r="C15" i="11"/>
  <c r="F15" i="11"/>
  <c r="C16" i="11"/>
  <c r="F16" i="11"/>
  <c r="C17" i="11"/>
  <c r="F17" i="11"/>
  <c r="C18" i="11"/>
  <c r="F18" i="11"/>
  <c r="C19" i="11"/>
  <c r="F19" i="11"/>
  <c r="C20" i="11"/>
  <c r="F20" i="11"/>
  <c r="C21" i="11"/>
  <c r="F21" i="11"/>
  <c r="C22" i="11"/>
  <c r="F22" i="11"/>
  <c r="C23" i="11"/>
  <c r="F23" i="11"/>
  <c r="C24" i="11"/>
  <c r="F24" i="11"/>
  <c r="C25" i="11"/>
  <c r="F25" i="11"/>
  <c r="C26" i="11"/>
  <c r="F26" i="11"/>
  <c r="C27" i="11"/>
  <c r="F27" i="11"/>
  <c r="C28" i="11"/>
  <c r="F28" i="11"/>
  <c r="C29" i="11"/>
  <c r="F29" i="11"/>
  <c r="C30" i="11"/>
  <c r="F30" i="11"/>
  <c r="C31" i="11"/>
  <c r="F31" i="11"/>
  <c r="C32" i="11"/>
  <c r="F32" i="11"/>
  <c r="C33" i="11"/>
  <c r="F33" i="11"/>
  <c r="C34" i="11"/>
  <c r="F34" i="11"/>
  <c r="C35" i="11"/>
  <c r="F35" i="11"/>
  <c r="C36" i="11"/>
  <c r="F36" i="11"/>
  <c r="C37" i="11"/>
  <c r="F37" i="11"/>
  <c r="C38" i="11"/>
  <c r="F38" i="11"/>
  <c r="C39" i="11"/>
  <c r="F39" i="11"/>
  <c r="C40" i="11"/>
  <c r="F40" i="11"/>
  <c r="C41" i="11"/>
  <c r="F41" i="11"/>
  <c r="C42" i="11"/>
  <c r="F42" i="11"/>
  <c r="C43" i="11"/>
  <c r="F43" i="11"/>
  <c r="C44" i="11"/>
  <c r="F44" i="11"/>
  <c r="C45" i="11"/>
  <c r="F45" i="11"/>
  <c r="C46" i="11"/>
  <c r="F46" i="11"/>
  <c r="C47" i="11"/>
  <c r="F47" i="11"/>
  <c r="C48" i="11"/>
  <c r="F48" i="11"/>
  <c r="C49" i="11"/>
  <c r="F49" i="11"/>
  <c r="C50" i="11"/>
  <c r="F50" i="11"/>
  <c r="C51" i="11"/>
  <c r="F51" i="11"/>
  <c r="C52" i="11"/>
  <c r="F52" i="11"/>
  <c r="C53" i="11"/>
  <c r="F53" i="11"/>
  <c r="C54" i="11"/>
  <c r="F54" i="11"/>
  <c r="C55" i="11"/>
  <c r="F55" i="11"/>
  <c r="C56" i="11"/>
  <c r="F56" i="11"/>
  <c r="C57" i="11"/>
  <c r="F57" i="11"/>
  <c r="C58" i="11"/>
  <c r="F58" i="11"/>
  <c r="C59" i="11"/>
  <c r="F59" i="11"/>
  <c r="C60" i="11"/>
  <c r="F60" i="11"/>
  <c r="C61" i="11"/>
  <c r="F61" i="11"/>
  <c r="C62" i="11"/>
  <c r="F62" i="11"/>
  <c r="C63" i="11"/>
  <c r="F63" i="11"/>
  <c r="C64" i="11"/>
  <c r="F64" i="11"/>
  <c r="C65" i="11"/>
  <c r="F65" i="11"/>
  <c r="C66" i="11"/>
  <c r="F66" i="11"/>
  <c r="C67" i="11"/>
  <c r="F67" i="11"/>
  <c r="C68" i="11"/>
  <c r="F68" i="11"/>
  <c r="C69" i="11"/>
  <c r="F69" i="11"/>
  <c r="C70" i="11"/>
  <c r="F70" i="11"/>
  <c r="C71" i="11"/>
  <c r="F71" i="11"/>
  <c r="C72" i="11"/>
  <c r="F72" i="11"/>
  <c r="C73" i="11"/>
  <c r="F73" i="11"/>
  <c r="C74" i="11"/>
  <c r="F74" i="11"/>
  <c r="C75" i="11"/>
  <c r="F75" i="11"/>
  <c r="C76" i="11"/>
  <c r="F76" i="11"/>
  <c r="C77" i="11"/>
  <c r="F77" i="11"/>
  <c r="C78" i="11"/>
  <c r="F78" i="11"/>
  <c r="C79" i="11"/>
  <c r="F79" i="11"/>
  <c r="C80" i="11"/>
  <c r="F80" i="11"/>
  <c r="C81" i="11"/>
  <c r="F81" i="11"/>
  <c r="C82" i="11"/>
  <c r="F82" i="11"/>
  <c r="C83" i="11"/>
  <c r="F83" i="11"/>
  <c r="C84" i="11"/>
  <c r="F84" i="11"/>
  <c r="C85" i="11"/>
  <c r="F85" i="11"/>
  <c r="C86" i="11"/>
  <c r="F86" i="11"/>
  <c r="C87" i="11"/>
  <c r="F87" i="11"/>
  <c r="C88" i="11"/>
  <c r="F88" i="11"/>
  <c r="C89" i="11"/>
  <c r="F89" i="11"/>
  <c r="C90" i="11"/>
  <c r="F90" i="11"/>
  <c r="C91" i="11"/>
  <c r="F91" i="11"/>
  <c r="C92" i="11"/>
  <c r="F92" i="11"/>
  <c r="C93" i="11"/>
  <c r="F93" i="11"/>
  <c r="C94" i="11"/>
  <c r="F94" i="11"/>
  <c r="C95" i="11"/>
  <c r="F95" i="11"/>
  <c r="C96" i="11"/>
  <c r="F96" i="11"/>
  <c r="C97" i="11"/>
  <c r="F97" i="11"/>
  <c r="C98" i="11"/>
  <c r="F98" i="11"/>
  <c r="C99" i="11"/>
  <c r="F99" i="11"/>
  <c r="C100" i="11"/>
  <c r="F100" i="11"/>
  <c r="C101" i="11"/>
  <c r="F101" i="11"/>
  <c r="C102" i="11"/>
  <c r="F102" i="11"/>
  <c r="C103" i="11"/>
  <c r="F103" i="11"/>
  <c r="C104" i="11"/>
  <c r="F104" i="11"/>
  <c r="C105" i="11"/>
  <c r="F105" i="11"/>
  <c r="C106" i="11"/>
  <c r="F106" i="11"/>
  <c r="C107" i="11"/>
  <c r="F107" i="11"/>
  <c r="C108" i="11"/>
  <c r="F108" i="11"/>
  <c r="C109" i="11"/>
  <c r="F109" i="11"/>
  <c r="C110" i="11"/>
  <c r="F110" i="11"/>
  <c r="C111" i="11"/>
  <c r="F111" i="11"/>
  <c r="C112" i="11"/>
  <c r="F112" i="11"/>
  <c r="C113" i="11"/>
  <c r="F113" i="11"/>
  <c r="C114" i="11"/>
  <c r="F114" i="11"/>
  <c r="C115" i="11"/>
  <c r="F115" i="11"/>
  <c r="C116" i="11"/>
  <c r="F116" i="11"/>
  <c r="A117" i="11"/>
  <c r="D3" i="18"/>
  <c r="F3" i="18"/>
  <c r="H3" i="18"/>
  <c r="L3" i="18" s="1"/>
  <c r="I3" i="18"/>
  <c r="J3" i="18"/>
  <c r="D4" i="18"/>
  <c r="F4" i="18"/>
  <c r="H4" i="18"/>
  <c r="I4" i="18"/>
  <c r="J4" i="18"/>
  <c r="D5" i="18"/>
  <c r="F5" i="18"/>
  <c r="H5" i="18"/>
  <c r="L5" i="18" s="1"/>
  <c r="I5" i="18"/>
  <c r="J5" i="18"/>
  <c r="D6" i="18"/>
  <c r="F6" i="18"/>
  <c r="H6" i="18"/>
  <c r="I6" i="18"/>
  <c r="J6" i="18"/>
  <c r="K6" i="18"/>
  <c r="D7" i="18"/>
  <c r="F7" i="18"/>
  <c r="H7" i="18"/>
  <c r="I7" i="18"/>
  <c r="J7" i="18"/>
  <c r="D8" i="18"/>
  <c r="F8" i="18"/>
  <c r="H8" i="18"/>
  <c r="K8" i="18" s="1"/>
  <c r="I8" i="18"/>
  <c r="J8" i="18"/>
  <c r="D9" i="18"/>
  <c r="F9" i="18"/>
  <c r="L9" i="18" s="1"/>
  <c r="H9" i="18"/>
  <c r="I9" i="18"/>
  <c r="J9" i="18"/>
  <c r="K9" i="18"/>
  <c r="D10" i="18"/>
  <c r="F10" i="18"/>
  <c r="L10" i="18" s="1"/>
  <c r="H10" i="18"/>
  <c r="K10" i="18" s="1"/>
  <c r="I10" i="18"/>
  <c r="J10" i="18"/>
  <c r="M10" i="18"/>
  <c r="D11" i="18"/>
  <c r="F11" i="18"/>
  <c r="H11" i="18"/>
  <c r="I11" i="18"/>
  <c r="J11" i="18"/>
  <c r="L11" i="18"/>
  <c r="D12" i="18"/>
  <c r="F12" i="18"/>
  <c r="L12" i="18" s="1"/>
  <c r="H12" i="18"/>
  <c r="K12" i="18" s="1"/>
  <c r="I12" i="18"/>
  <c r="J12" i="18"/>
  <c r="M12" i="18"/>
  <c r="D13" i="18"/>
  <c r="F13" i="18"/>
  <c r="L13" i="18" s="1"/>
  <c r="H13" i="18"/>
  <c r="I13" i="18"/>
  <c r="J13" i="18"/>
  <c r="D14" i="18"/>
  <c r="F14" i="18"/>
  <c r="H14" i="18"/>
  <c r="L14" i="18" s="1"/>
  <c r="I14" i="18"/>
  <c r="J14" i="18"/>
  <c r="D15" i="18"/>
  <c r="F15" i="18"/>
  <c r="H15" i="18"/>
  <c r="I15" i="18"/>
  <c r="J15" i="18"/>
  <c r="D16" i="18"/>
  <c r="F16" i="18"/>
  <c r="H16" i="18"/>
  <c r="L16" i="18" s="1"/>
  <c r="I16" i="18"/>
  <c r="J16" i="18"/>
  <c r="D17" i="18"/>
  <c r="F17" i="18"/>
  <c r="H17" i="18"/>
  <c r="K17" i="18" s="1"/>
  <c r="I17" i="18"/>
  <c r="J17" i="18"/>
  <c r="D18" i="18"/>
  <c r="F18" i="18"/>
  <c r="H18" i="18"/>
  <c r="I18" i="18"/>
  <c r="J18" i="18"/>
  <c r="D19" i="18"/>
  <c r="F19" i="18"/>
  <c r="H19" i="18"/>
  <c r="K19" i="18" s="1"/>
  <c r="I19" i="18"/>
  <c r="J19" i="18"/>
  <c r="D20" i="18"/>
  <c r="F20" i="18"/>
  <c r="H20" i="18"/>
  <c r="I20" i="18"/>
  <c r="J20" i="18"/>
  <c r="D21" i="18"/>
  <c r="F21" i="18"/>
  <c r="L21" i="18" s="1"/>
  <c r="H21" i="18"/>
  <c r="K21" i="18" s="1"/>
  <c r="I21" i="18"/>
  <c r="J21" i="18"/>
  <c r="D22" i="18"/>
  <c r="F22" i="18"/>
  <c r="H22" i="18"/>
  <c r="I22" i="18"/>
  <c r="J22" i="18"/>
  <c r="D23" i="18"/>
  <c r="F23" i="18"/>
  <c r="L23" i="18" s="1"/>
  <c r="H23" i="18"/>
  <c r="I23" i="18"/>
  <c r="J23" i="18"/>
  <c r="K23" i="18"/>
  <c r="D24" i="18"/>
  <c r="F24" i="18"/>
  <c r="H24" i="18"/>
  <c r="I24" i="18"/>
  <c r="J24" i="18"/>
  <c r="L24" i="18"/>
  <c r="D25" i="18"/>
  <c r="F25" i="18"/>
  <c r="L25" i="18" s="1"/>
  <c r="H25" i="18"/>
  <c r="K25" i="18" s="1"/>
  <c r="I25" i="18"/>
  <c r="J25" i="18"/>
  <c r="M25" i="18"/>
  <c r="D26" i="18"/>
  <c r="F26" i="18"/>
  <c r="L26" i="18" s="1"/>
  <c r="H26" i="18"/>
  <c r="K26" i="18" s="1"/>
  <c r="I26" i="18"/>
  <c r="J26" i="18"/>
  <c r="D27" i="18"/>
  <c r="M27" i="18" s="1"/>
  <c r="F27" i="18"/>
  <c r="L27" i="18"/>
  <c r="H27" i="18"/>
  <c r="I27" i="18"/>
  <c r="J27" i="18"/>
  <c r="K27" i="18"/>
  <c r="D28" i="18"/>
  <c r="F28" i="18"/>
  <c r="L28" i="18" s="1"/>
  <c r="H28" i="18"/>
  <c r="K28" i="18" s="1"/>
  <c r="I28" i="18"/>
  <c r="J28" i="18"/>
  <c r="D29" i="18"/>
  <c r="F29" i="18"/>
  <c r="H29" i="18"/>
  <c r="L29" i="18" s="1"/>
  <c r="I29" i="18"/>
  <c r="J29" i="18"/>
  <c r="D30" i="18"/>
  <c r="F30" i="18"/>
  <c r="H30" i="18"/>
  <c r="K30" i="18" s="1"/>
  <c r="I30" i="18"/>
  <c r="J30" i="18"/>
  <c r="D31" i="18"/>
  <c r="F31" i="18"/>
  <c r="H31" i="18"/>
  <c r="L31" i="18" s="1"/>
  <c r="I31" i="18"/>
  <c r="J31" i="18"/>
  <c r="D32" i="18"/>
  <c r="F32" i="18"/>
  <c r="H32" i="18"/>
  <c r="K32" i="18" s="1"/>
  <c r="I32" i="18"/>
  <c r="J32" i="18"/>
  <c r="D33" i="18"/>
  <c r="F33" i="18"/>
  <c r="H33" i="18"/>
  <c r="I33" i="18"/>
  <c r="J33" i="18"/>
  <c r="D34" i="18"/>
  <c r="F34" i="18"/>
  <c r="L34" i="18" s="1"/>
  <c r="H34" i="18"/>
  <c r="K34" i="18" s="1"/>
  <c r="I34" i="18"/>
  <c r="J34" i="18"/>
  <c r="D35" i="18"/>
  <c r="F35" i="18"/>
  <c r="H35" i="18"/>
  <c r="I35" i="18"/>
  <c r="J35" i="18"/>
  <c r="D36" i="18"/>
  <c r="F36" i="18"/>
  <c r="L36" i="18" s="1"/>
  <c r="H36" i="18"/>
  <c r="K36" i="18" s="1"/>
  <c r="I36" i="18"/>
  <c r="J36" i="18"/>
  <c r="D37" i="18"/>
  <c r="F37" i="18"/>
  <c r="H37" i="18"/>
  <c r="L37" i="18" s="1"/>
  <c r="I37" i="18"/>
  <c r="J37" i="18"/>
  <c r="D38" i="18"/>
  <c r="F38" i="18"/>
  <c r="H38" i="18"/>
  <c r="I38" i="18"/>
  <c r="J38" i="18"/>
  <c r="L38" i="18"/>
  <c r="D39" i="18"/>
  <c r="F39" i="18"/>
  <c r="H39" i="18"/>
  <c r="I39" i="18"/>
  <c r="J39" i="18"/>
  <c r="L39" i="18"/>
  <c r="D40" i="18"/>
  <c r="F40" i="18"/>
  <c r="H40" i="18"/>
  <c r="I40" i="18"/>
  <c r="J40" i="18"/>
  <c r="L40" i="18"/>
  <c r="D41" i="18"/>
  <c r="H41" i="18"/>
  <c r="L41" i="18" s="1"/>
  <c r="I41" i="18"/>
  <c r="J41" i="18"/>
  <c r="D42" i="18"/>
  <c r="H42" i="18"/>
  <c r="L42" i="18" s="1"/>
  <c r="I42" i="18"/>
  <c r="J42" i="18"/>
  <c r="D43" i="18"/>
  <c r="F43" i="18"/>
  <c r="H43" i="18"/>
  <c r="I43" i="18"/>
  <c r="J43" i="18"/>
  <c r="D44" i="18"/>
  <c r="F44" i="18"/>
  <c r="H44" i="18"/>
  <c r="L44" i="18" s="1"/>
  <c r="I44" i="18"/>
  <c r="J44" i="18"/>
  <c r="D45" i="18"/>
  <c r="F45" i="18"/>
  <c r="H45" i="18"/>
  <c r="I45" i="18"/>
  <c r="J45" i="18"/>
  <c r="D46" i="18"/>
  <c r="F46" i="18"/>
  <c r="H46" i="18"/>
  <c r="L46" i="18" s="1"/>
  <c r="I46" i="18"/>
  <c r="J46" i="18"/>
  <c r="D47" i="18"/>
  <c r="F47" i="18"/>
  <c r="H47" i="18"/>
  <c r="L47" i="18" s="1"/>
  <c r="I47" i="18"/>
  <c r="J47" i="18"/>
  <c r="D48" i="18"/>
  <c r="F48" i="18"/>
  <c r="H48" i="18"/>
  <c r="L48" i="18" s="1"/>
  <c r="I48" i="18"/>
  <c r="J48" i="18"/>
  <c r="D49" i="18"/>
  <c r="F49" i="18"/>
  <c r="H49" i="18"/>
  <c r="I49" i="18"/>
  <c r="J49" i="18"/>
  <c r="D50" i="18"/>
  <c r="F50" i="18"/>
  <c r="H50" i="18"/>
  <c r="L50" i="18" s="1"/>
  <c r="I50" i="18"/>
  <c r="J50" i="18"/>
  <c r="D51" i="18"/>
  <c r="F51" i="18"/>
  <c r="H51" i="18"/>
  <c r="L51" i="18" s="1"/>
  <c r="I51" i="18"/>
  <c r="J51" i="18"/>
  <c r="C7" i="15"/>
  <c r="D7" i="15"/>
  <c r="D10" i="15"/>
  <c r="D11" i="15"/>
  <c r="D12" i="15"/>
  <c r="D14" i="15"/>
  <c r="D15" i="15"/>
  <c r="D16" i="15"/>
  <c r="D18" i="15"/>
  <c r="D20" i="15"/>
  <c r="D21" i="15"/>
  <c r="B35" i="15"/>
  <c r="B5" i="9"/>
  <c r="B6" i="9"/>
  <c r="B7" i="9"/>
  <c r="O7" i="9"/>
  <c r="O13" i="9"/>
  <c r="B2" i="7"/>
  <c r="E2" i="7"/>
  <c r="K2" i="7"/>
  <c r="R2" i="7"/>
  <c r="X2" i="7"/>
  <c r="AG3" i="7"/>
  <c r="O3" i="7" s="1"/>
  <c r="B12" i="7"/>
  <c r="B20" i="7"/>
  <c r="V4" i="17" s="1"/>
  <c r="AH20" i="7"/>
  <c r="AI21" i="7"/>
  <c r="AI22" i="7"/>
  <c r="AI23" i="7"/>
  <c r="AI24" i="7"/>
  <c r="AI25" i="7"/>
  <c r="AI26" i="7"/>
  <c r="AI27" i="7"/>
  <c r="B28" i="7"/>
  <c r="R28" i="7"/>
  <c r="S28" i="7"/>
  <c r="T28" i="7"/>
  <c r="U28" i="7"/>
  <c r="AI28" i="7"/>
  <c r="AH31" i="7"/>
  <c r="AI31" i="7"/>
  <c r="AI32" i="7"/>
  <c r="AI33" i="7"/>
  <c r="AH35" i="7"/>
  <c r="AE44" i="7"/>
  <c r="AE45" i="7"/>
  <c r="AG45" i="7"/>
  <c r="E5" i="12"/>
  <c r="E13" i="12" s="1"/>
  <c r="K5" i="12"/>
  <c r="K13" i="12" s="1"/>
  <c r="Q5" i="12"/>
  <c r="E6" i="12"/>
  <c r="K6" i="12"/>
  <c r="Q6" i="12"/>
  <c r="E7" i="12"/>
  <c r="K7" i="12"/>
  <c r="Q7" i="12"/>
  <c r="E31" i="17" s="1"/>
  <c r="F8" i="12"/>
  <c r="F9" i="12"/>
  <c r="L9" i="12"/>
  <c r="F10" i="12"/>
  <c r="L10" i="12"/>
  <c r="Q10" i="12"/>
  <c r="E20" i="17" s="1"/>
  <c r="F11" i="12"/>
  <c r="L11" i="12"/>
  <c r="F12" i="12"/>
  <c r="L12" i="12"/>
  <c r="R12" i="12"/>
  <c r="F13" i="12"/>
  <c r="L13" i="12"/>
  <c r="N16" i="12"/>
  <c r="N17" i="12"/>
  <c r="N21" i="12"/>
  <c r="Q25" i="12"/>
  <c r="E8" i="12" s="1"/>
  <c r="R25" i="12"/>
  <c r="R26" i="12"/>
  <c r="Q27" i="12"/>
  <c r="R27" i="12"/>
  <c r="N29" i="12"/>
  <c r="N30" i="12"/>
  <c r="N31" i="12"/>
  <c r="R42" i="12"/>
  <c r="R43" i="12"/>
  <c r="R44" i="12"/>
  <c r="K6" i="8"/>
  <c r="Q6" i="8"/>
  <c r="F9" i="8"/>
  <c r="E8" i="15" s="1"/>
  <c r="F10" i="8"/>
  <c r="E9" i="15" s="1"/>
  <c r="F11" i="8"/>
  <c r="E10" i="15" s="1"/>
  <c r="H14" i="8"/>
  <c r="H15" i="8"/>
  <c r="H16" i="8"/>
  <c r="H17" i="8"/>
  <c r="N28" i="8"/>
  <c r="N31" i="8"/>
  <c r="N32" i="8"/>
  <c r="N33" i="8"/>
  <c r="F34" i="8"/>
  <c r="N35" i="8"/>
  <c r="N36" i="8"/>
  <c r="X36" i="8"/>
  <c r="AH34" i="7"/>
  <c r="D8" i="15"/>
  <c r="C45" i="5"/>
  <c r="K35" i="18"/>
  <c r="M35" i="18"/>
  <c r="K31" i="18"/>
  <c r="M31" i="18"/>
  <c r="K22" i="18"/>
  <c r="M22" i="18"/>
  <c r="K18" i="18"/>
  <c r="M18" i="18"/>
  <c r="K51" i="18"/>
  <c r="M51" i="18"/>
  <c r="K50" i="18"/>
  <c r="M50" i="18"/>
  <c r="K49" i="18"/>
  <c r="M49" i="18"/>
  <c r="K48" i="18"/>
  <c r="M48" i="18"/>
  <c r="K47" i="18"/>
  <c r="M47" i="18"/>
  <c r="K46" i="18"/>
  <c r="M46" i="18"/>
  <c r="K45" i="18"/>
  <c r="M45" i="18"/>
  <c r="K44" i="18"/>
  <c r="M44" i="18"/>
  <c r="K43" i="18"/>
  <c r="M43" i="18"/>
  <c r="K42" i="18"/>
  <c r="M42" i="18"/>
  <c r="K41" i="18"/>
  <c r="M41" i="18"/>
  <c r="K40" i="18"/>
  <c r="M40" i="18"/>
  <c r="K39" i="18"/>
  <c r="M39" i="18"/>
  <c r="K38" i="18"/>
  <c r="M38" i="18"/>
  <c r="K37" i="18"/>
  <c r="M37" i="18"/>
  <c r="M36" i="18"/>
  <c r="K33" i="18"/>
  <c r="M33" i="18"/>
  <c r="M32" i="18"/>
  <c r="K29" i="18"/>
  <c r="M29" i="18"/>
  <c r="M28" i="18"/>
  <c r="M26" i="18"/>
  <c r="K24" i="18"/>
  <c r="M24" i="18"/>
  <c r="M23" i="18"/>
  <c r="K20" i="18"/>
  <c r="M20" i="18"/>
  <c r="M19" i="18"/>
  <c r="K16" i="18"/>
  <c r="M16" i="18"/>
  <c r="K15" i="18"/>
  <c r="M15" i="18"/>
  <c r="K14" i="18"/>
  <c r="M14" i="18"/>
  <c r="K13" i="18"/>
  <c r="M13" i="18"/>
  <c r="K11" i="18"/>
  <c r="M11" i="18"/>
  <c r="M9" i="18"/>
  <c r="K7" i="18"/>
  <c r="M7" i="18"/>
  <c r="K5" i="18"/>
  <c r="M5" i="18"/>
  <c r="K4" i="18"/>
  <c r="M4" i="18"/>
  <c r="K3" i="18"/>
  <c r="M3" i="18"/>
  <c r="Q32" i="8"/>
  <c r="Q33" i="8"/>
  <c r="Q36" i="8"/>
  <c r="C61" i="16" s="1"/>
  <c r="A46" i="5"/>
  <c r="B4" i="7" l="1"/>
  <c r="R4" i="7" s="1"/>
  <c r="R5" i="7" s="1"/>
  <c r="R6" i="7" s="1"/>
  <c r="R7" i="7" s="1"/>
  <c r="R8" i="7" s="1"/>
  <c r="R9" i="7" s="1"/>
  <c r="R10" i="7" s="1"/>
  <c r="R11" i="7" s="1"/>
  <c r="R12" i="7" s="1"/>
  <c r="R13" i="7" s="1"/>
  <c r="R14" i="7" s="1"/>
  <c r="R15" i="7" s="1"/>
  <c r="R16" i="7" s="1"/>
  <c r="R17" i="7" s="1"/>
  <c r="R18" i="7" s="1"/>
  <c r="R19" i="7" s="1"/>
  <c r="R20" i="7" s="1"/>
  <c r="R21" i="7" s="1"/>
  <c r="R22" i="7" s="1"/>
  <c r="R23" i="7" s="1"/>
  <c r="R24" i="7" s="1"/>
  <c r="R25" i="7" s="1"/>
  <c r="R26" i="7" s="1"/>
  <c r="R27" i="7" s="1"/>
  <c r="O5" i="17"/>
  <c r="K8" i="12"/>
  <c r="Q46" i="12"/>
  <c r="E37" i="17" s="1"/>
  <c r="C7" i="17"/>
  <c r="Q42" i="12"/>
  <c r="R46" i="12"/>
  <c r="F37" i="17" s="1"/>
  <c r="Q44" i="12"/>
  <c r="V3" i="7"/>
  <c r="AB3" i="7"/>
  <c r="H4" i="9" s="1"/>
  <c r="L49" i="18"/>
  <c r="L45" i="18"/>
  <c r="L43" i="18"/>
  <c r="L8" i="18"/>
  <c r="M21" i="18"/>
  <c r="M17" i="18"/>
  <c r="L15" i="18"/>
  <c r="M34" i="18"/>
  <c r="M30" i="18"/>
  <c r="L18" i="18"/>
  <c r="L6" i="18"/>
  <c r="D3" i="15"/>
  <c r="B571" i="10"/>
  <c r="B572" i="10"/>
  <c r="Q43" i="12"/>
  <c r="E17" i="17"/>
  <c r="F17" i="17"/>
  <c r="D5" i="15"/>
  <c r="D4" i="15"/>
  <c r="E34" i="17"/>
  <c r="R45" i="12"/>
  <c r="B7" i="15"/>
  <c r="E6" i="8"/>
  <c r="R15" i="12" s="1"/>
  <c r="H34" i="17"/>
  <c r="H37" i="17"/>
  <c r="H33" i="17"/>
  <c r="J3" i="7"/>
  <c r="L35" i="18"/>
  <c r="L33" i="18"/>
  <c r="L32" i="18"/>
  <c r="L30" i="18"/>
  <c r="L22" i="18"/>
  <c r="L20" i="18"/>
  <c r="L19" i="18"/>
  <c r="L17" i="18"/>
  <c r="M8" i="18"/>
  <c r="M6" i="18"/>
  <c r="L4" i="18"/>
  <c r="L7" i="18"/>
  <c r="C46" i="5"/>
  <c r="C12" i="7" s="1"/>
  <c r="C8" i="17"/>
  <c r="Q11" i="12"/>
  <c r="AH33" i="7"/>
  <c r="W3" i="7"/>
  <c r="D9" i="15"/>
  <c r="B21" i="7"/>
  <c r="B22" i="7" s="1"/>
  <c r="B23" i="7" s="1"/>
  <c r="B24" i="7" s="1"/>
  <c r="B13" i="7"/>
  <c r="B14" i="7" s="1"/>
  <c r="B15" i="7" s="1"/>
  <c r="B16" i="7" s="1"/>
  <c r="B17" i="7" s="1"/>
  <c r="B18" i="7" s="1"/>
  <c r="B19" i="7" s="1"/>
  <c r="E12" i="12"/>
  <c r="I3" i="7"/>
  <c r="AC3" i="7"/>
  <c r="I4" i="9" s="1"/>
  <c r="P3" i="7"/>
  <c r="AE9" i="7"/>
  <c r="H18" i="8" s="1"/>
  <c r="AE10" i="7"/>
  <c r="H19" i="8" s="1"/>
  <c r="A45" i="5"/>
  <c r="C22" i="7" s="1"/>
  <c r="K10" i="12"/>
  <c r="K28" i="8" s="1"/>
  <c r="C20" i="16" s="1"/>
  <c r="K12" i="12"/>
  <c r="E10" i="12"/>
  <c r="E11" i="12" s="1"/>
  <c r="Q45" i="12"/>
  <c r="Q47" i="12" s="1"/>
  <c r="R7" i="12"/>
  <c r="Q8" i="12"/>
  <c r="A13" i="5"/>
  <c r="O7" i="17"/>
  <c r="W37" i="8"/>
  <c r="V2" i="17"/>
  <c r="V3" i="17" s="1"/>
  <c r="W2" i="17"/>
  <c r="W3" i="17" s="1"/>
  <c r="X37" i="8"/>
  <c r="C45" i="16" s="1"/>
  <c r="P7" i="17"/>
  <c r="B5" i="7"/>
  <c r="B6" i="7" s="1"/>
  <c r="B7" i="7" s="1"/>
  <c r="B8" i="7" s="1"/>
  <c r="B9" i="7" s="1"/>
  <c r="B10" i="7" s="1"/>
  <c r="B11" i="7" s="1"/>
  <c r="I37" i="17" l="1"/>
  <c r="AH21" i="7"/>
  <c r="Q9" i="12"/>
  <c r="A18" i="5" s="1"/>
  <c r="Q12" i="12" s="1"/>
  <c r="Q15" i="12" s="1"/>
  <c r="N9" i="9"/>
  <c r="AE1" i="7"/>
  <c r="C44" i="16"/>
  <c r="B24" i="12"/>
  <c r="H35" i="17"/>
  <c r="R24" i="12"/>
  <c r="R28" i="12" s="1"/>
  <c r="R31" i="12" s="1"/>
  <c r="K8" i="8" s="1"/>
  <c r="C5" i="16" s="1"/>
  <c r="C4" i="7"/>
  <c r="D4" i="7" s="1"/>
  <c r="C11" i="7"/>
  <c r="D11" i="7" s="1"/>
  <c r="D23" i="7"/>
  <c r="C23" i="7"/>
  <c r="E9" i="12"/>
  <c r="Q24" i="12"/>
  <c r="Q28" i="12" s="1"/>
  <c r="Q31" i="12" s="1"/>
  <c r="K7" i="8" s="1"/>
  <c r="C4" i="16" s="1"/>
  <c r="B25" i="7"/>
  <c r="D25" i="7" s="1"/>
  <c r="C24" i="7"/>
  <c r="C6" i="7"/>
  <c r="D6" i="7" s="1"/>
  <c r="C7" i="7"/>
  <c r="D7" i="7" s="1"/>
  <c r="C8" i="7"/>
  <c r="D8" i="7" s="1"/>
  <c r="C28" i="7"/>
  <c r="C20" i="7"/>
  <c r="D21" i="7"/>
  <c r="D28" i="7"/>
  <c r="C21" i="7"/>
  <c r="D20" i="7"/>
  <c r="D22" i="7"/>
  <c r="K11" i="12"/>
  <c r="K25" i="8"/>
  <c r="C18" i="16" s="1"/>
  <c r="K9" i="12"/>
  <c r="K27" i="8"/>
  <c r="C19" i="16" s="1"/>
  <c r="K24" i="8"/>
  <c r="C17" i="16" s="1"/>
  <c r="D24" i="7"/>
  <c r="R8" i="12"/>
  <c r="F31" i="17"/>
  <c r="I33" i="17" s="1"/>
  <c r="C9" i="7"/>
  <c r="D9" i="7" s="1"/>
  <c r="C10" i="7"/>
  <c r="D10" i="7" s="1"/>
  <c r="C5" i="7"/>
  <c r="D5" i="7" s="1"/>
  <c r="AH27" i="7"/>
  <c r="AH28" i="7"/>
  <c r="D12" i="7"/>
  <c r="C13" i="7"/>
  <c r="Q16" i="12" l="1"/>
  <c r="B31" i="12" s="1"/>
  <c r="E32" i="17"/>
  <c r="E33" i="17" s="1"/>
  <c r="E35" i="17" s="1"/>
  <c r="F27" i="17"/>
  <c r="E3" i="17"/>
  <c r="H24" i="12"/>
  <c r="C22" i="17" s="1"/>
  <c r="C23" i="17" s="1"/>
  <c r="F22" i="17" s="1"/>
  <c r="R16" i="12"/>
  <c r="C24" i="12"/>
  <c r="D24" i="12" s="1"/>
  <c r="I35" i="17"/>
  <c r="I36" i="17"/>
  <c r="I38" i="17" s="1"/>
  <c r="I39" i="17" s="1"/>
  <c r="H36" i="17"/>
  <c r="H38" i="17" s="1"/>
  <c r="H39" i="17" s="1"/>
  <c r="B26" i="7"/>
  <c r="B27" i="7" s="1"/>
  <c r="C25" i="7"/>
  <c r="AH25" i="7"/>
  <c r="AH26" i="7"/>
  <c r="AF42" i="7"/>
  <c r="AE42" i="7" s="1"/>
  <c r="D13" i="7"/>
  <c r="C14" i="7"/>
  <c r="B22" i="17"/>
  <c r="B23" i="17" s="1"/>
  <c r="E22" i="17" s="1"/>
  <c r="C6" i="17"/>
  <c r="F33" i="17"/>
  <c r="F36" i="17" s="1"/>
  <c r="F38" i="17" s="1"/>
  <c r="F39" i="17" s="1"/>
  <c r="K30" i="8" l="1"/>
  <c r="C21" i="16" s="1"/>
  <c r="E23" i="17"/>
  <c r="C25" i="17" s="1"/>
  <c r="B17" i="12"/>
  <c r="O11" i="17" s="1"/>
  <c r="E36" i="17"/>
  <c r="E38" i="17" s="1"/>
  <c r="E39" i="17" s="1"/>
  <c r="E41" i="17" s="1"/>
  <c r="Q24" i="8" s="1"/>
  <c r="C49" i="16" s="1"/>
  <c r="W8" i="8"/>
  <c r="I24" i="12"/>
  <c r="J24" i="12" s="1"/>
  <c r="E11" i="17" s="1"/>
  <c r="E12" i="17" s="1"/>
  <c r="E13" i="17" s="1"/>
  <c r="E14" i="17" s="1"/>
  <c r="E16" i="17" s="1"/>
  <c r="H17" i="12"/>
  <c r="H18" i="12" s="1"/>
  <c r="I18" i="12" s="1"/>
  <c r="J18" i="12" s="1"/>
  <c r="K18" i="12" s="1"/>
  <c r="L18" i="12" s="1"/>
  <c r="H31" i="12"/>
  <c r="I31" i="12" s="1"/>
  <c r="J31" i="12" s="1"/>
  <c r="K31" i="12" s="1"/>
  <c r="L31" i="12" s="1"/>
  <c r="D26" i="7"/>
  <c r="C26" i="7"/>
  <c r="E24" i="12"/>
  <c r="F24" i="12" s="1"/>
  <c r="F35" i="17"/>
  <c r="W5" i="8"/>
  <c r="A25" i="5" s="1"/>
  <c r="A27" i="5" s="1"/>
  <c r="C27" i="7"/>
  <c r="D27" i="7"/>
  <c r="C15" i="7"/>
  <c r="D14" i="7"/>
  <c r="C31" i="12"/>
  <c r="D31" i="12" s="1"/>
  <c r="E31" i="12" s="1"/>
  <c r="F31" i="12" s="1"/>
  <c r="B25" i="12"/>
  <c r="B26" i="12" s="1"/>
  <c r="B18" i="12" l="1"/>
  <c r="B19" i="12" s="1"/>
  <c r="B20" i="12" s="1"/>
  <c r="C17" i="12"/>
  <c r="D17" i="12" s="1"/>
  <c r="E17" i="12" s="1"/>
  <c r="F17" i="12" s="1"/>
  <c r="C3" i="5" s="1"/>
  <c r="F23" i="17"/>
  <c r="E25" i="17" s="1"/>
  <c r="K24" i="12"/>
  <c r="L24" i="12" s="1"/>
  <c r="G4" i="5" s="1"/>
  <c r="AH22" i="7"/>
  <c r="G5" i="5"/>
  <c r="H25" i="12"/>
  <c r="H26" i="12" s="1"/>
  <c r="H27" i="12" s="1"/>
  <c r="E40" i="17"/>
  <c r="Q22" i="8" s="1"/>
  <c r="C48" i="16" s="1"/>
  <c r="F12" i="17"/>
  <c r="F13" i="17" s="1"/>
  <c r="F14" i="17" s="1"/>
  <c r="F16" i="17" s="1"/>
  <c r="H19" i="12"/>
  <c r="H20" i="12" s="1"/>
  <c r="P11" i="17"/>
  <c r="A29" i="5"/>
  <c r="I17" i="12"/>
  <c r="J17" i="12" s="1"/>
  <c r="K17" i="12" s="1"/>
  <c r="L17" i="12" s="1"/>
  <c r="A23" i="5"/>
  <c r="C54" i="16"/>
  <c r="C16" i="7"/>
  <c r="D15" i="7"/>
  <c r="C25" i="12"/>
  <c r="D25" i="12" s="1"/>
  <c r="E25" i="12" s="1"/>
  <c r="F25" i="12" s="1"/>
  <c r="E15" i="17"/>
  <c r="E18" i="17" s="1"/>
  <c r="C26" i="12"/>
  <c r="D26" i="12" s="1"/>
  <c r="E26" i="12" s="1"/>
  <c r="F26" i="12" s="1"/>
  <c r="B27" i="12"/>
  <c r="C19" i="12"/>
  <c r="D19" i="12" s="1"/>
  <c r="E19" i="12" s="1"/>
  <c r="F19" i="12" s="1"/>
  <c r="C18" i="12" l="1"/>
  <c r="D18" i="12" s="1"/>
  <c r="E18" i="12" s="1"/>
  <c r="F18" i="12" s="1"/>
  <c r="I19" i="12"/>
  <c r="J19" i="12" s="1"/>
  <c r="K19" i="12" s="1"/>
  <c r="L19" i="12" s="1"/>
  <c r="C5" i="5"/>
  <c r="P17" i="17"/>
  <c r="I4" i="5"/>
  <c r="Q30" i="8" s="1"/>
  <c r="C58" i="16" s="1"/>
  <c r="AH36" i="7"/>
  <c r="AH23" i="7"/>
  <c r="AH24" i="7" s="1"/>
  <c r="Q29" i="8"/>
  <c r="C53" i="16" s="1"/>
  <c r="I26" i="12"/>
  <c r="J26" i="12" s="1"/>
  <c r="K26" i="12" s="1"/>
  <c r="L26" i="12" s="1"/>
  <c r="I25" i="12"/>
  <c r="J25" i="12" s="1"/>
  <c r="K25" i="12" s="1"/>
  <c r="L25" i="12" s="1"/>
  <c r="F15" i="17"/>
  <c r="F18" i="17" s="1"/>
  <c r="E19" i="17" s="1"/>
  <c r="X8" i="8"/>
  <c r="X18" i="8"/>
  <c r="X19" i="8" s="1"/>
  <c r="R21" i="12" s="1"/>
  <c r="C17" i="5" s="1"/>
  <c r="I5" i="5"/>
  <c r="D16" i="7"/>
  <c r="C17" i="7"/>
  <c r="C20" i="12"/>
  <c r="D20" i="12" s="1"/>
  <c r="E20" i="12" s="1"/>
  <c r="F20" i="12" s="1"/>
  <c r="B21" i="12"/>
  <c r="I20" i="12"/>
  <c r="J20" i="12" s="1"/>
  <c r="K20" i="12" s="1"/>
  <c r="L20" i="12" s="1"/>
  <c r="H21" i="12"/>
  <c r="C27" i="12"/>
  <c r="D27" i="12" s="1"/>
  <c r="E27" i="12" s="1"/>
  <c r="F27" i="12" s="1"/>
  <c r="B28" i="12"/>
  <c r="H28" i="12"/>
  <c r="I27" i="12"/>
  <c r="J27" i="12" s="1"/>
  <c r="K27" i="12" s="1"/>
  <c r="L27" i="12" s="1"/>
  <c r="C57" i="16" l="1"/>
  <c r="AH37" i="7"/>
  <c r="AG4" i="7" s="1"/>
  <c r="AG5" i="7"/>
  <c r="Q7" i="8"/>
  <c r="Q17" i="12" s="1"/>
  <c r="W11" i="17"/>
  <c r="Q8" i="8"/>
  <c r="C29" i="16" s="1"/>
  <c r="W19" i="8"/>
  <c r="E4" i="17" s="1"/>
  <c r="D17" i="7"/>
  <c r="C18" i="7"/>
  <c r="I28" i="12"/>
  <c r="J28" i="12" s="1"/>
  <c r="K28" i="12" s="1"/>
  <c r="L28" i="12" s="1"/>
  <c r="H29" i="12"/>
  <c r="C28" i="12"/>
  <c r="D28" i="12" s="1"/>
  <c r="E28" i="12" s="1"/>
  <c r="F28" i="12" s="1"/>
  <c r="B29" i="12"/>
  <c r="I21" i="12"/>
  <c r="J21" i="12" s="1"/>
  <c r="K21" i="12" s="1"/>
  <c r="L21" i="12" s="1"/>
  <c r="H22" i="12"/>
  <c r="C21" i="12"/>
  <c r="D21" i="12" s="1"/>
  <c r="E21" i="12" s="1"/>
  <c r="F21" i="12" s="1"/>
  <c r="B22" i="12"/>
  <c r="E17" i="7" l="1"/>
  <c r="E20" i="7"/>
  <c r="E27" i="7"/>
  <c r="K14" i="8"/>
  <c r="E4" i="7"/>
  <c r="E12" i="7"/>
  <c r="E11" i="7"/>
  <c r="E24" i="7"/>
  <c r="E22" i="7"/>
  <c r="E28" i="7"/>
  <c r="E10" i="7"/>
  <c r="E14" i="7"/>
  <c r="E16" i="7"/>
  <c r="E15" i="7"/>
  <c r="E13" i="7"/>
  <c r="E25" i="7"/>
  <c r="E21" i="7"/>
  <c r="E6" i="7"/>
  <c r="E9" i="7"/>
  <c r="E23" i="7"/>
  <c r="E5" i="7"/>
  <c r="E26" i="7"/>
  <c r="E7" i="7"/>
  <c r="E8" i="7"/>
  <c r="AH38" i="7"/>
  <c r="AH5" i="7"/>
  <c r="K13" i="8"/>
  <c r="C8" i="16" s="1"/>
  <c r="AH39" i="7"/>
  <c r="R17" i="12"/>
  <c r="O2" i="17" s="1"/>
  <c r="P2" i="17" s="1"/>
  <c r="W25" i="8"/>
  <c r="W20" i="8"/>
  <c r="C28" i="16"/>
  <c r="W29" i="8"/>
  <c r="Q16" i="8" s="1"/>
  <c r="C40" i="16" s="1"/>
  <c r="Q21" i="12"/>
  <c r="B17" i="5" s="1"/>
  <c r="E18" i="7"/>
  <c r="C19" i="7"/>
  <c r="AH42" i="7" s="1"/>
  <c r="D18" i="7"/>
  <c r="H23" i="12"/>
  <c r="I22" i="12"/>
  <c r="J22" i="12" s="1"/>
  <c r="K22" i="12" s="1"/>
  <c r="L22" i="12" s="1"/>
  <c r="C29" i="12"/>
  <c r="D29" i="12" s="1"/>
  <c r="E29" i="12" s="1"/>
  <c r="F29" i="12" s="1"/>
  <c r="B30" i="12"/>
  <c r="I29" i="12"/>
  <c r="J29" i="12" s="1"/>
  <c r="K29" i="12" s="1"/>
  <c r="L29" i="12" s="1"/>
  <c r="H30" i="12"/>
  <c r="C22" i="12"/>
  <c r="D22" i="12" s="1"/>
  <c r="E22" i="12" s="1"/>
  <c r="F22" i="12" s="1"/>
  <c r="B23" i="12"/>
  <c r="AG42" i="7" l="1"/>
  <c r="A43" i="5"/>
  <c r="C9" i="16"/>
  <c r="AG10" i="7"/>
  <c r="J19" i="7" s="1"/>
  <c r="AH32" i="7"/>
  <c r="N10" i="9" s="1"/>
  <c r="X26" i="7"/>
  <c r="K13" i="7"/>
  <c r="X11" i="7"/>
  <c r="K6" i="7"/>
  <c r="K7" i="7"/>
  <c r="K24" i="7"/>
  <c r="X5" i="7"/>
  <c r="K19" i="7"/>
  <c r="K17" i="7"/>
  <c r="X7" i="7"/>
  <c r="X17" i="7"/>
  <c r="X18" i="7"/>
  <c r="K5" i="7"/>
  <c r="X4" i="7"/>
  <c r="X20" i="7"/>
  <c r="X9" i="7"/>
  <c r="K26" i="7"/>
  <c r="X14" i="7"/>
  <c r="X15" i="7"/>
  <c r="X13" i="7"/>
  <c r="K20" i="7"/>
  <c r="K10" i="7"/>
  <c r="K9" i="7"/>
  <c r="X28" i="7"/>
  <c r="X16" i="7"/>
  <c r="X23" i="7"/>
  <c r="K18" i="7"/>
  <c r="K22" i="7"/>
  <c r="K21" i="7"/>
  <c r="K28" i="7"/>
  <c r="X25" i="7"/>
  <c r="X21" i="7"/>
  <c r="K4" i="7"/>
  <c r="X12" i="7"/>
  <c r="X24" i="7"/>
  <c r="X10" i="7"/>
  <c r="X8" i="7"/>
  <c r="K11" i="7"/>
  <c r="AH13" i="7"/>
  <c r="X22" i="7"/>
  <c r="K23" i="7"/>
  <c r="K16" i="7"/>
  <c r="X27" i="7"/>
  <c r="K5" i="5"/>
  <c r="X6" i="7"/>
  <c r="K14" i="7"/>
  <c r="K25" i="7"/>
  <c r="X19" i="7"/>
  <c r="K27" i="7"/>
  <c r="K8" i="7"/>
  <c r="K12" i="7"/>
  <c r="K15" i="7"/>
  <c r="V11" i="17"/>
  <c r="Q13" i="8"/>
  <c r="C36" i="16" s="1"/>
  <c r="X25" i="8"/>
  <c r="Q14" i="8" s="1"/>
  <c r="C37" i="16" s="1"/>
  <c r="X29" i="8"/>
  <c r="Q17" i="8" s="1"/>
  <c r="C41" i="16" s="1"/>
  <c r="A17" i="5"/>
  <c r="D19" i="7"/>
  <c r="E19" i="7"/>
  <c r="C23" i="12"/>
  <c r="D23" i="12" s="1"/>
  <c r="E23" i="12" s="1"/>
  <c r="F23" i="12" s="1"/>
  <c r="C30" i="12"/>
  <c r="D30" i="12" s="1"/>
  <c r="E30" i="12" s="1"/>
  <c r="F30" i="12" s="1"/>
  <c r="I23" i="12"/>
  <c r="J23" i="12" s="1"/>
  <c r="K23" i="12" s="1"/>
  <c r="L23" i="12" s="1"/>
  <c r="I30" i="12"/>
  <c r="J30" i="12" s="1"/>
  <c r="K30" i="12" s="1"/>
  <c r="L30" i="12" s="1"/>
  <c r="AG6" i="7" l="1"/>
  <c r="AE17" i="7" s="1"/>
  <c r="D5" i="9"/>
  <c r="N13" i="9"/>
  <c r="N12" i="9"/>
  <c r="N11" i="9"/>
  <c r="AI16" i="7"/>
  <c r="J22" i="7"/>
  <c r="J11" i="7"/>
  <c r="J26" i="7"/>
  <c r="J4" i="7"/>
  <c r="J12" i="7"/>
  <c r="J16" i="7"/>
  <c r="J14" i="7"/>
  <c r="J7" i="7"/>
  <c r="J21" i="7"/>
  <c r="J9" i="7"/>
  <c r="J10" i="7"/>
  <c r="K19" i="8"/>
  <c r="F6" i="17" s="1"/>
  <c r="J17" i="7"/>
  <c r="J15" i="7"/>
  <c r="J23" i="7"/>
  <c r="J27" i="7"/>
  <c r="J28" i="7"/>
  <c r="J6" i="7"/>
  <c r="J5" i="7"/>
  <c r="J24" i="7"/>
  <c r="AH10" i="7"/>
  <c r="J13" i="7"/>
  <c r="J8" i="7"/>
  <c r="W28" i="7"/>
  <c r="J20" i="7"/>
  <c r="J25" i="7"/>
  <c r="J18" i="7"/>
  <c r="Q13" i="12"/>
  <c r="W7" i="8"/>
  <c r="W13" i="8" s="1"/>
  <c r="AF46" i="7"/>
  <c r="AH46" i="7"/>
  <c r="C14" i="16" l="1"/>
  <c r="AC28" i="7"/>
  <c r="N7" i="9"/>
  <c r="N5" i="9"/>
  <c r="R27" i="17"/>
  <c r="S27" i="17" s="1"/>
  <c r="T27" i="17" s="1"/>
  <c r="U27" i="17" s="1"/>
  <c r="V27" i="17" s="1"/>
  <c r="O6" i="17"/>
  <c r="R28" i="17"/>
  <c r="S28" i="17" s="1"/>
  <c r="T28" i="17" s="1"/>
  <c r="U28" i="17" s="1"/>
  <c r="V28" i="17" s="1"/>
  <c r="D7" i="9"/>
  <c r="D6" i="9"/>
  <c r="P11" i="7"/>
  <c r="P5" i="7"/>
  <c r="P27" i="7"/>
  <c r="P28" i="7"/>
  <c r="P17" i="7"/>
  <c r="P7" i="7"/>
  <c r="P6" i="7"/>
  <c r="P14" i="7"/>
  <c r="P26" i="7"/>
  <c r="P25" i="7"/>
  <c r="P19" i="7"/>
  <c r="P18" i="7"/>
  <c r="P24" i="7"/>
  <c r="P15" i="7"/>
  <c r="P22" i="7"/>
  <c r="P9" i="7"/>
  <c r="P4" i="7"/>
  <c r="P12" i="7"/>
  <c r="P8" i="7"/>
  <c r="P16" i="7"/>
  <c r="P23" i="7"/>
  <c r="P10" i="7"/>
  <c r="P21" i="7"/>
  <c r="P13" i="7"/>
  <c r="P20" i="7"/>
  <c r="F18" i="7"/>
  <c r="F16" i="7"/>
  <c r="F25" i="7"/>
  <c r="F7" i="7"/>
  <c r="AH6" i="7"/>
  <c r="F20" i="7"/>
  <c r="F12" i="7"/>
  <c r="F15" i="7"/>
  <c r="S4" i="7"/>
  <c r="S5" i="7" s="1"/>
  <c r="S6" i="7" s="1"/>
  <c r="S7" i="7" s="1"/>
  <c r="S8" i="7" s="1"/>
  <c r="S9" i="7" s="1"/>
  <c r="S10" i="7" s="1"/>
  <c r="S11" i="7" s="1"/>
  <c r="S12" i="7" s="1"/>
  <c r="S13" i="7" s="1"/>
  <c r="S14" i="7" s="1"/>
  <c r="S15" i="7" s="1"/>
  <c r="S16" i="7" s="1"/>
  <c r="S17" i="7" s="1"/>
  <c r="S18" i="7" s="1"/>
  <c r="S19" i="7" s="1"/>
  <c r="S20" i="7" s="1"/>
  <c r="S21" i="7" s="1"/>
  <c r="S22" i="7" s="1"/>
  <c r="S23" i="7" s="1"/>
  <c r="S24" i="7" s="1"/>
  <c r="S25" i="7" s="1"/>
  <c r="S26" i="7" s="1"/>
  <c r="S27" i="7" s="1"/>
  <c r="F10" i="7"/>
  <c r="K15" i="8"/>
  <c r="C10" i="16" s="1"/>
  <c r="F23" i="7"/>
  <c r="F11" i="7"/>
  <c r="F24" i="7"/>
  <c r="F22" i="7"/>
  <c r="F13" i="7"/>
  <c r="F21" i="7"/>
  <c r="F8" i="7"/>
  <c r="F26" i="7"/>
  <c r="F28" i="7"/>
  <c r="F17" i="7"/>
  <c r="F9" i="7"/>
  <c r="F27" i="7"/>
  <c r="F5" i="7"/>
  <c r="F14" i="7"/>
  <c r="F4" i="7"/>
  <c r="F6" i="7"/>
  <c r="F19" i="7"/>
  <c r="X7" i="8"/>
  <c r="X13" i="8"/>
  <c r="K36" i="8" s="1"/>
  <c r="C25" i="16" s="1"/>
  <c r="K35" i="8"/>
  <c r="C24" i="16" s="1"/>
  <c r="L27" i="17" l="1"/>
  <c r="M27" i="17" s="1"/>
  <c r="N27" i="17" s="1"/>
  <c r="O27" i="17" s="1"/>
  <c r="P27" i="17" s="1"/>
  <c r="L20" i="17"/>
  <c r="M20" i="17" s="1"/>
  <c r="N20" i="17" s="1"/>
  <c r="O20" i="17" s="1"/>
  <c r="P20" i="17" s="1"/>
  <c r="O8" i="17"/>
  <c r="P8" i="17"/>
  <c r="L26" i="7"/>
  <c r="L4" i="7"/>
  <c r="L6" i="7"/>
  <c r="L14" i="7"/>
  <c r="Y16" i="7"/>
  <c r="Y27" i="7"/>
  <c r="L13" i="7"/>
  <c r="L19" i="7"/>
  <c r="Y12" i="7"/>
  <c r="L23" i="7"/>
  <c r="Y23" i="7"/>
  <c r="L9" i="7"/>
  <c r="L28" i="7"/>
  <c r="L18" i="7"/>
  <c r="Y6" i="7"/>
  <c r="Y10" i="7"/>
  <c r="Y25" i="7"/>
  <c r="L5" i="7"/>
  <c r="L24" i="7"/>
  <c r="Y13" i="7"/>
  <c r="L21" i="7"/>
  <c r="L22" i="7"/>
  <c r="Y20" i="7"/>
  <c r="Y7" i="7"/>
  <c r="Y22" i="7"/>
  <c r="Y19" i="7"/>
  <c r="L25" i="7"/>
  <c r="L20" i="7"/>
  <c r="Y26" i="7"/>
  <c r="Y28" i="7"/>
  <c r="L12" i="7"/>
  <c r="Y17" i="7"/>
  <c r="L7" i="7"/>
  <c r="L11" i="7"/>
  <c r="Y21" i="7"/>
  <c r="Y15" i="7"/>
  <c r="Y5" i="7"/>
  <c r="L16" i="7"/>
  <c r="Y9" i="7"/>
  <c r="Y18" i="7"/>
  <c r="L8" i="7"/>
  <c r="Y11" i="7"/>
  <c r="Y8" i="7"/>
  <c r="L15" i="7"/>
  <c r="L17" i="7"/>
  <c r="Y24" i="7"/>
  <c r="L27" i="7"/>
  <c r="Y4" i="7"/>
  <c r="Y14" i="7"/>
  <c r="L10" i="7"/>
  <c r="R19" i="17"/>
  <c r="AG7" i="7" l="1"/>
  <c r="E5" i="9"/>
  <c r="R20" i="17"/>
  <c r="E6" i="9" l="1"/>
  <c r="E7" i="9"/>
  <c r="AF17" i="7"/>
  <c r="G18" i="7"/>
  <c r="G14" i="7"/>
  <c r="G16" i="7"/>
  <c r="G28" i="7"/>
  <c r="G21" i="7"/>
  <c r="G19" i="7"/>
  <c r="G11" i="7"/>
  <c r="AH7" i="7"/>
  <c r="G8" i="7"/>
  <c r="G7" i="7"/>
  <c r="G26" i="7"/>
  <c r="K16" i="8"/>
  <c r="C11" i="16" s="1"/>
  <c r="G13" i="7"/>
  <c r="T4" i="7"/>
  <c r="T5" i="7" s="1"/>
  <c r="T6" i="7" s="1"/>
  <c r="T7" i="7" s="1"/>
  <c r="T8" i="7" s="1"/>
  <c r="T9" i="7" s="1"/>
  <c r="T10" i="7" s="1"/>
  <c r="T11" i="7" s="1"/>
  <c r="T12" i="7" s="1"/>
  <c r="T13" i="7" s="1"/>
  <c r="T14" i="7" s="1"/>
  <c r="T15" i="7" s="1"/>
  <c r="T16" i="7" s="1"/>
  <c r="T17" i="7" s="1"/>
  <c r="T18" i="7" s="1"/>
  <c r="T19" i="7" s="1"/>
  <c r="T20" i="7" s="1"/>
  <c r="T21" i="7" s="1"/>
  <c r="T22" i="7" s="1"/>
  <c r="T23" i="7" s="1"/>
  <c r="T24" i="7" s="1"/>
  <c r="T25" i="7" s="1"/>
  <c r="T26" i="7" s="1"/>
  <c r="T27" i="7" s="1"/>
  <c r="G12" i="7"/>
  <c r="G17" i="7"/>
  <c r="G4" i="7"/>
  <c r="G22" i="7"/>
  <c r="G15" i="7"/>
  <c r="G23" i="7"/>
  <c r="G25" i="7"/>
  <c r="G6" i="7"/>
  <c r="G27" i="7"/>
  <c r="G20" i="7"/>
  <c r="G10" i="7"/>
  <c r="G5" i="7"/>
  <c r="G9" i="7"/>
  <c r="G24" i="7"/>
  <c r="L28" i="17" l="1"/>
  <c r="M28" i="17" s="1"/>
  <c r="N28" i="17" s="1"/>
  <c r="O28" i="17" s="1"/>
  <c r="P28" i="17" s="1"/>
  <c r="L21" i="17"/>
  <c r="M21" i="17" s="1"/>
  <c r="N21" i="17" s="1"/>
  <c r="O21" i="17" s="1"/>
  <c r="P21" i="17" s="1"/>
  <c r="Z10" i="7"/>
  <c r="M22" i="7"/>
  <c r="Z15" i="7"/>
  <c r="M26" i="7"/>
  <c r="M14" i="7"/>
  <c r="Z13" i="7"/>
  <c r="M20" i="7"/>
  <c r="M7" i="7"/>
  <c r="Z21" i="7"/>
  <c r="Z23" i="7"/>
  <c r="M8" i="7"/>
  <c r="Z14" i="7"/>
  <c r="Z8" i="7"/>
  <c r="M16" i="7"/>
  <c r="M24" i="7"/>
  <c r="Z20" i="7"/>
  <c r="Z22" i="7"/>
  <c r="M5" i="7"/>
  <c r="Z12" i="7"/>
  <c r="M9" i="7"/>
  <c r="Z26" i="7"/>
  <c r="Z4" i="7"/>
  <c r="M12" i="7"/>
  <c r="M25" i="7"/>
  <c r="M23" i="7"/>
  <c r="Z17" i="7"/>
  <c r="Z19" i="7"/>
  <c r="M17" i="7"/>
  <c r="M27" i="7"/>
  <c r="M15" i="7"/>
  <c r="Z11" i="7"/>
  <c r="Z6" i="7"/>
  <c r="Z25" i="7"/>
  <c r="M19" i="7"/>
  <c r="M28" i="7"/>
  <c r="M11" i="7"/>
  <c r="M10" i="7"/>
  <c r="Z28" i="7"/>
  <c r="Z5" i="7"/>
  <c r="Z27" i="7"/>
  <c r="M4" i="7"/>
  <c r="M18" i="7"/>
  <c r="M21" i="7"/>
  <c r="Z16" i="7"/>
  <c r="Z7" i="7"/>
  <c r="Z24" i="7"/>
  <c r="Z9" i="7"/>
  <c r="M13" i="7"/>
  <c r="Z18" i="7"/>
  <c r="M6" i="7"/>
  <c r="F5" i="9" l="1"/>
  <c r="AG8" i="7"/>
  <c r="R21" i="17"/>
  <c r="H25" i="7" l="1"/>
  <c r="K17" i="8"/>
  <c r="C12" i="16" s="1"/>
  <c r="H19" i="7"/>
  <c r="H7" i="7"/>
  <c r="H8" i="7"/>
  <c r="H17" i="7"/>
  <c r="H12" i="7"/>
  <c r="H15" i="7"/>
  <c r="AG17" i="7"/>
  <c r="H27" i="7"/>
  <c r="H16" i="7"/>
  <c r="H9" i="7"/>
  <c r="H14" i="7"/>
  <c r="AH8" i="7"/>
  <c r="H13" i="7"/>
  <c r="H23" i="7"/>
  <c r="H5" i="7"/>
  <c r="H22" i="7"/>
  <c r="H10" i="7"/>
  <c r="H24" i="7"/>
  <c r="H11" i="7"/>
  <c r="U4" i="7"/>
  <c r="U5" i="7" s="1"/>
  <c r="U6" i="7" s="1"/>
  <c r="U7" i="7" s="1"/>
  <c r="U8" i="7" s="1"/>
  <c r="U9" i="7" s="1"/>
  <c r="U10" i="7" s="1"/>
  <c r="U11" i="7" s="1"/>
  <c r="U12" i="7" s="1"/>
  <c r="U13" i="7" s="1"/>
  <c r="U14" i="7" s="1"/>
  <c r="U15" i="7" s="1"/>
  <c r="U16" i="7" s="1"/>
  <c r="U17" i="7" s="1"/>
  <c r="U18" i="7" s="1"/>
  <c r="U19" i="7" s="1"/>
  <c r="U20" i="7" s="1"/>
  <c r="U21" i="7" s="1"/>
  <c r="U22" i="7" s="1"/>
  <c r="U23" i="7" s="1"/>
  <c r="U24" i="7" s="1"/>
  <c r="U25" i="7" s="1"/>
  <c r="U26" i="7" s="1"/>
  <c r="U27" i="7" s="1"/>
  <c r="H20" i="7"/>
  <c r="H21" i="7"/>
  <c r="H4" i="7"/>
  <c r="H28" i="7"/>
  <c r="H18" i="7"/>
  <c r="H6" i="7"/>
  <c r="H26" i="7"/>
  <c r="F6" i="9"/>
  <c r="F7" i="9"/>
  <c r="AA24" i="7" l="1"/>
  <c r="AA16" i="7"/>
  <c r="N5" i="7"/>
  <c r="N20" i="7"/>
  <c r="AA25" i="7"/>
  <c r="N9" i="7"/>
  <c r="N23" i="7"/>
  <c r="N10" i="7"/>
  <c r="N12" i="7"/>
  <c r="N7" i="7"/>
  <c r="AA8" i="7"/>
  <c r="N18" i="7"/>
  <c r="AA28" i="7"/>
  <c r="N17" i="7"/>
  <c r="AA26" i="7"/>
  <c r="AA5" i="7"/>
  <c r="N19" i="7"/>
  <c r="AA10" i="7"/>
  <c r="AA23" i="7"/>
  <c r="AA9" i="7"/>
  <c r="AA20" i="7"/>
  <c r="AA21" i="7"/>
  <c r="N15" i="7"/>
  <c r="N4" i="7"/>
  <c r="N24" i="7"/>
  <c r="AA12" i="7"/>
  <c r="AA11" i="7"/>
  <c r="N16" i="7"/>
  <c r="AA6" i="7"/>
  <c r="N11" i="7"/>
  <c r="AA17" i="7"/>
  <c r="AA13" i="7"/>
  <c r="AA22" i="7"/>
  <c r="AA15" i="7"/>
  <c r="AA7" i="7"/>
  <c r="AA18" i="7"/>
  <c r="N27" i="7"/>
  <c r="N25" i="7"/>
  <c r="N6" i="7"/>
  <c r="N21" i="7"/>
  <c r="AA27" i="7"/>
  <c r="N28" i="7"/>
  <c r="N14" i="7"/>
  <c r="N26" i="7"/>
  <c r="AA4" i="7"/>
  <c r="N13" i="7"/>
  <c r="AA19" i="7"/>
  <c r="N22" i="7"/>
  <c r="AA14" i="7"/>
  <c r="N8" i="7"/>
  <c r="L29" i="17"/>
  <c r="M29" i="17" s="1"/>
  <c r="N29" i="17" s="1"/>
  <c r="O29" i="17" s="1"/>
  <c r="P29" i="17" s="1"/>
  <c r="L22" i="17"/>
  <c r="M22" i="17" s="1"/>
  <c r="N22" i="17" s="1"/>
  <c r="O22" i="17" s="1"/>
  <c r="P22" i="17" s="1"/>
  <c r="R22" i="17" l="1"/>
  <c r="G5" i="9"/>
  <c r="AG9" i="7"/>
  <c r="AH16" i="7" l="1"/>
  <c r="AI17" i="7"/>
  <c r="I19" i="7"/>
  <c r="I17" i="7"/>
  <c r="I9" i="7"/>
  <c r="V28" i="7"/>
  <c r="W4" i="7" s="1"/>
  <c r="I21" i="7"/>
  <c r="V4" i="7"/>
  <c r="I7" i="7"/>
  <c r="I6" i="7"/>
  <c r="I27" i="7"/>
  <c r="I28" i="7"/>
  <c r="AH17" i="7"/>
  <c r="I12" i="7"/>
  <c r="AH9" i="7"/>
  <c r="I25" i="7"/>
  <c r="I10" i="7"/>
  <c r="I16" i="7"/>
  <c r="I4" i="7"/>
  <c r="I15" i="7"/>
  <c r="I11" i="7"/>
  <c r="I24" i="7"/>
  <c r="I18" i="7"/>
  <c r="I13" i="7"/>
  <c r="I20" i="7"/>
  <c r="I14" i="7"/>
  <c r="I26" i="7"/>
  <c r="I8" i="7"/>
  <c r="I22" i="7"/>
  <c r="K18" i="8"/>
  <c r="C13" i="16" s="1"/>
  <c r="I5" i="7"/>
  <c r="I23" i="7"/>
  <c r="G6" i="9"/>
  <c r="G7" i="9"/>
  <c r="V5" i="7" l="1"/>
  <c r="V6" i="7" s="1"/>
  <c r="V7" i="7" s="1"/>
  <c r="V8" i="7" s="1"/>
  <c r="V9" i="7" s="1"/>
  <c r="V10" i="7" s="1"/>
  <c r="V11" i="7" s="1"/>
  <c r="V12" i="7" s="1"/>
  <c r="V13" i="7" s="1"/>
  <c r="V14" i="7" s="1"/>
  <c r="V15" i="7" s="1"/>
  <c r="V16" i="7" s="1"/>
  <c r="V17" i="7" s="1"/>
  <c r="V18" i="7" s="1"/>
  <c r="V19" i="7" s="1"/>
  <c r="V20" i="7" s="1"/>
  <c r="V21" i="7" s="1"/>
  <c r="V22" i="7" s="1"/>
  <c r="V23" i="7" s="1"/>
  <c r="V24" i="7" s="1"/>
  <c r="V25" i="7" s="1"/>
  <c r="V26" i="7" s="1"/>
  <c r="V27" i="7" s="1"/>
  <c r="AB27" i="7" s="1"/>
  <c r="L30" i="17"/>
  <c r="M30" i="17" s="1"/>
  <c r="N30" i="17" s="1"/>
  <c r="O30" i="17" s="1"/>
  <c r="P30" i="17" s="1"/>
  <c r="L23" i="17"/>
  <c r="M23" i="17" s="1"/>
  <c r="N23" i="17" s="1"/>
  <c r="O23" i="17" s="1"/>
  <c r="P23" i="17" s="1"/>
  <c r="W5" i="7"/>
  <c r="AC4" i="7"/>
  <c r="O7" i="7"/>
  <c r="Q7" i="7" s="1"/>
  <c r="O27" i="7"/>
  <c r="Q27" i="7" s="1"/>
  <c r="O16" i="7"/>
  <c r="Q16" i="7" s="1"/>
  <c r="O14" i="7"/>
  <c r="Q14" i="7" s="1"/>
  <c r="O15" i="7"/>
  <c r="Q15" i="7" s="1"/>
  <c r="O6" i="7"/>
  <c r="Q6" i="7" s="1"/>
  <c r="O11" i="7"/>
  <c r="Q11" i="7" s="1"/>
  <c r="AB28" i="7"/>
  <c r="H5" i="9" s="1"/>
  <c r="O4" i="7"/>
  <c r="Q4" i="7" s="1"/>
  <c r="O23" i="7"/>
  <c r="Q23" i="7" s="1"/>
  <c r="O10" i="7"/>
  <c r="Q10" i="7" s="1"/>
  <c r="O25" i="7"/>
  <c r="Q25" i="7" s="1"/>
  <c r="AB4" i="7"/>
  <c r="O24" i="7"/>
  <c r="Q24" i="7" s="1"/>
  <c r="O20" i="7"/>
  <c r="Q20" i="7" s="1"/>
  <c r="O22" i="7"/>
  <c r="Q22" i="7" s="1"/>
  <c r="O19" i="7"/>
  <c r="Q19" i="7" s="1"/>
  <c r="O12" i="7"/>
  <c r="Q12" i="7" s="1"/>
  <c r="O9" i="7"/>
  <c r="Q9" i="7" s="1"/>
  <c r="O26" i="7"/>
  <c r="Q26" i="7" s="1"/>
  <c r="O21" i="7"/>
  <c r="Q21" i="7" s="1"/>
  <c r="O5" i="7"/>
  <c r="Q5" i="7" s="1"/>
  <c r="O18" i="7"/>
  <c r="Q18" i="7" s="1"/>
  <c r="O8" i="7"/>
  <c r="Q8" i="7" s="1"/>
  <c r="O17" i="7"/>
  <c r="Q17" i="7" s="1"/>
  <c r="O28" i="7"/>
  <c r="Q28" i="7" s="1"/>
  <c r="O13" i="7"/>
  <c r="Q13" i="7" s="1"/>
  <c r="AB8" i="7" l="1"/>
  <c r="AB6" i="7"/>
  <c r="AB16" i="7"/>
  <c r="AB15" i="7"/>
  <c r="AB24" i="7"/>
  <c r="AB23" i="7"/>
  <c r="AB17" i="7"/>
  <c r="AB22" i="7"/>
  <c r="AB20" i="7"/>
  <c r="AB25" i="7"/>
  <c r="AB14" i="7"/>
  <c r="AB9" i="7"/>
  <c r="AB18" i="7"/>
  <c r="AB13" i="7"/>
  <c r="AB21" i="7"/>
  <c r="AB12" i="7"/>
  <c r="AB10" i="7"/>
  <c r="AB7" i="7"/>
  <c r="AB26" i="7"/>
  <c r="AB19" i="7"/>
  <c r="AB5" i="7"/>
  <c r="AB11" i="7"/>
  <c r="R23" i="17"/>
  <c r="H7" i="9"/>
  <c r="H6" i="9"/>
  <c r="AC5" i="7"/>
  <c r="W6" i="7"/>
  <c r="L24" i="17" l="1"/>
  <c r="M24" i="17" s="1"/>
  <c r="N24" i="17" s="1"/>
  <c r="O24" i="17" s="1"/>
  <c r="P24" i="17" s="1"/>
  <c r="L31" i="17"/>
  <c r="M31" i="17" s="1"/>
  <c r="N31" i="17" s="1"/>
  <c r="O31" i="17" s="1"/>
  <c r="P31" i="17" s="1"/>
  <c r="AC6" i="7"/>
  <c r="W7" i="7"/>
  <c r="R24" i="17" l="1"/>
  <c r="W8" i="7"/>
  <c r="AC7" i="7"/>
  <c r="W9" i="7" l="1"/>
  <c r="AC8" i="7"/>
  <c r="I5" i="9" s="1"/>
  <c r="I7" i="9" l="1"/>
  <c r="I6" i="9"/>
  <c r="W10" i="7"/>
  <c r="AC9" i="7"/>
  <c r="O41" i="17" l="1"/>
  <c r="AC10" i="7"/>
  <c r="W11" i="7"/>
  <c r="L32" i="17"/>
  <c r="M32" i="17" s="1"/>
  <c r="N32" i="17" s="1"/>
  <c r="O32" i="17" s="1"/>
  <c r="P32" i="17" s="1"/>
  <c r="N6" i="9"/>
  <c r="L25" i="17"/>
  <c r="M25" i="17" s="1"/>
  <c r="N25" i="17" s="1"/>
  <c r="O25" i="17" s="1"/>
  <c r="P25" i="17" s="1"/>
  <c r="R25" i="17" l="1"/>
  <c r="W12" i="7"/>
  <c r="AC11" i="7"/>
  <c r="W13" i="7" l="1"/>
  <c r="AC12" i="7"/>
  <c r="AC13" i="7" l="1"/>
  <c r="W14" i="7"/>
  <c r="W15" i="7" l="1"/>
  <c r="AC14" i="7"/>
  <c r="W16" i="7" l="1"/>
  <c r="AC15" i="7"/>
  <c r="W17" i="7" l="1"/>
  <c r="AC16" i="7"/>
  <c r="W18" i="7" l="1"/>
  <c r="AC17" i="7"/>
  <c r="W19" i="7" l="1"/>
  <c r="AC18" i="7"/>
  <c r="W20" i="7" l="1"/>
  <c r="AC19" i="7"/>
  <c r="W21" i="7" l="1"/>
  <c r="AC20" i="7"/>
  <c r="W22" i="7" l="1"/>
  <c r="AC21" i="7"/>
  <c r="W23" i="7" l="1"/>
  <c r="AC22" i="7"/>
  <c r="W24" i="7" l="1"/>
  <c r="AC23" i="7"/>
  <c r="AC24" i="7" l="1"/>
  <c r="W25" i="7"/>
  <c r="AC25" i="7" l="1"/>
  <c r="W26" i="7"/>
  <c r="AC26" i="7" l="1"/>
  <c r="W27" i="7"/>
  <c r="AC27" i="7" s="1"/>
</calcChain>
</file>

<file path=xl/comments1.xml><?xml version="1.0" encoding="utf-8"?>
<comments xmlns="http://schemas.openxmlformats.org/spreadsheetml/2006/main">
  <authors>
    <author>Amado</author>
  </authors>
  <commentList>
    <comment ref="W5" authorId="0">
      <text>
        <r>
          <rPr>
            <b/>
            <sz val="8"/>
            <color indexed="10"/>
            <rFont val="Calibri"/>
            <family val="2"/>
          </rPr>
          <t>Ride Frequency</t>
        </r>
        <r>
          <rPr>
            <sz val="8"/>
            <color indexed="81"/>
            <rFont val="Calibri"/>
            <family val="2"/>
          </rPr>
          <t xml:space="preserve">
A ride frequency is the undamped natural frequency of the body in ride.
- Lower frequencies produce a softer suspension with more mechanical grip, however the
response will be slower. 
- Higher frequencies create less suspension travel for a given track, allowing lower ride heights, and in
turn, lowering the center of gravity.</t>
        </r>
      </text>
    </comment>
    <comment ref="W6" authorId="0">
      <text>
        <r>
          <rPr>
            <b/>
            <sz val="8"/>
            <color indexed="10"/>
            <rFont val="Calibri"/>
            <family val="2"/>
          </rPr>
          <t>Frequency Override (Hz)</t>
        </r>
        <r>
          <rPr>
            <b/>
            <sz val="8"/>
            <color indexed="81"/>
            <rFont val="Calibri"/>
            <family val="2"/>
          </rPr>
          <t xml:space="preserve">
</t>
        </r>
        <r>
          <rPr>
            <sz val="8"/>
            <color indexed="81"/>
            <rFont val="Calibri"/>
            <family val="2"/>
          </rPr>
          <t>Raise value to improve overall</t>
        </r>
        <r>
          <rPr>
            <b/>
            <sz val="8"/>
            <color indexed="81"/>
            <rFont val="Calibri"/>
            <family val="2"/>
          </rPr>
          <t xml:space="preserve"> response</t>
        </r>
        <r>
          <rPr>
            <sz val="8"/>
            <color indexed="81"/>
            <rFont val="Calibri"/>
            <family val="2"/>
          </rPr>
          <t xml:space="preserve">
Lower value to improve overall </t>
        </r>
        <r>
          <rPr>
            <b/>
            <sz val="8"/>
            <color indexed="81"/>
            <rFont val="Calibri"/>
            <family val="2"/>
          </rPr>
          <t>mechanical grip</t>
        </r>
      </text>
    </comment>
    <comment ref="W11" authorId="0">
      <text>
        <r>
          <rPr>
            <b/>
            <sz val="8"/>
            <color indexed="10"/>
            <rFont val="Calibri"/>
            <family val="2"/>
          </rPr>
          <t>Strength</t>
        </r>
        <r>
          <rPr>
            <b/>
            <sz val="8"/>
            <color indexed="81"/>
            <rFont val="Calibri"/>
            <family val="2"/>
          </rPr>
          <t xml:space="preserve">
</t>
        </r>
        <r>
          <rPr>
            <sz val="8"/>
            <color indexed="81"/>
            <rFont val="Calibri"/>
            <family val="2"/>
          </rPr>
          <t>Raise value to</t>
        </r>
        <r>
          <rPr>
            <b/>
            <sz val="8"/>
            <color indexed="81"/>
            <rFont val="Calibri"/>
            <family val="2"/>
          </rPr>
          <t xml:space="preserve"> </t>
        </r>
        <r>
          <rPr>
            <sz val="8"/>
            <color indexed="81"/>
            <rFont val="Calibri"/>
            <family val="2"/>
          </rPr>
          <t>increase</t>
        </r>
        <r>
          <rPr>
            <b/>
            <sz val="8"/>
            <color indexed="81"/>
            <rFont val="Calibri"/>
            <family val="2"/>
          </rPr>
          <t xml:space="preserve"> cornering force</t>
        </r>
        <r>
          <rPr>
            <sz val="8"/>
            <color indexed="81"/>
            <rFont val="Calibri"/>
            <family val="2"/>
          </rPr>
          <t xml:space="preserve">
Lower value to</t>
        </r>
        <r>
          <rPr>
            <b/>
            <sz val="8"/>
            <color indexed="81"/>
            <rFont val="Calibri"/>
            <family val="2"/>
          </rPr>
          <t xml:space="preserve"> </t>
        </r>
        <r>
          <rPr>
            <sz val="8"/>
            <color indexed="81"/>
            <rFont val="Calibri"/>
            <family val="2"/>
          </rPr>
          <t>increase</t>
        </r>
        <r>
          <rPr>
            <b/>
            <sz val="8"/>
            <color indexed="81"/>
            <rFont val="Calibri"/>
            <family val="2"/>
          </rPr>
          <t xml:space="preserve"> turn entry oversteer</t>
        </r>
      </text>
    </comment>
    <comment ref="W12" authorId="0">
      <text>
        <r>
          <rPr>
            <b/>
            <sz val="8"/>
            <color indexed="10"/>
            <rFont val="Calibri"/>
            <family val="2"/>
          </rPr>
          <t>Front Bias</t>
        </r>
        <r>
          <rPr>
            <b/>
            <sz val="8"/>
            <color indexed="81"/>
            <rFont val="Calibri"/>
            <family val="2"/>
          </rPr>
          <t xml:space="preserve">
</t>
        </r>
        <r>
          <rPr>
            <sz val="8"/>
            <color indexed="81"/>
            <rFont val="Calibri"/>
            <family val="2"/>
          </rPr>
          <t xml:space="preserve">Raise value to increase </t>
        </r>
        <r>
          <rPr>
            <b/>
            <sz val="8"/>
            <color indexed="81"/>
            <rFont val="Calibri"/>
            <family val="2"/>
          </rPr>
          <t>understeer</t>
        </r>
        <r>
          <rPr>
            <sz val="8"/>
            <color indexed="81"/>
            <rFont val="Calibri"/>
            <family val="2"/>
          </rPr>
          <t xml:space="preserve">
Lower value to increase </t>
        </r>
        <r>
          <rPr>
            <b/>
            <sz val="8"/>
            <color indexed="81"/>
            <rFont val="Calibri"/>
            <family val="2"/>
          </rPr>
          <t>oversteer</t>
        </r>
      </text>
    </comment>
    <comment ref="W16" authorId="0">
      <text>
        <r>
          <rPr>
            <b/>
            <sz val="8"/>
            <color indexed="10"/>
            <rFont val="Calibri"/>
            <family val="2"/>
          </rPr>
          <t>Strength</t>
        </r>
        <r>
          <rPr>
            <b/>
            <sz val="8"/>
            <color indexed="81"/>
            <rFont val="Calibri"/>
            <family val="2"/>
          </rPr>
          <t xml:space="preserve">
</t>
        </r>
        <r>
          <rPr>
            <sz val="8"/>
            <color indexed="81"/>
            <rFont val="Calibri"/>
            <family val="2"/>
          </rPr>
          <t xml:space="preserve">Raise value to increase </t>
        </r>
        <r>
          <rPr>
            <b/>
            <sz val="8"/>
            <color indexed="81"/>
            <rFont val="Calibri"/>
            <family val="2"/>
          </rPr>
          <t>chassis</t>
        </r>
        <r>
          <rPr>
            <sz val="8"/>
            <color indexed="81"/>
            <rFont val="Calibri"/>
            <family val="2"/>
          </rPr>
          <t xml:space="preserve"> </t>
        </r>
        <r>
          <rPr>
            <b/>
            <sz val="8"/>
            <color indexed="81"/>
            <rFont val="Calibri"/>
            <family val="2"/>
          </rPr>
          <t>response</t>
        </r>
        <r>
          <rPr>
            <sz val="8"/>
            <color indexed="81"/>
            <rFont val="Calibri"/>
            <family val="2"/>
          </rPr>
          <t xml:space="preserve">
Lower value to improve</t>
        </r>
        <r>
          <rPr>
            <b/>
            <sz val="8"/>
            <color indexed="81"/>
            <rFont val="Calibri"/>
            <family val="2"/>
          </rPr>
          <t xml:space="preserve"> bump absorption</t>
        </r>
      </text>
    </comment>
    <comment ref="W17" authorId="0">
      <text>
        <r>
          <rPr>
            <b/>
            <sz val="8"/>
            <color indexed="10"/>
            <rFont val="Calibri"/>
            <family val="2"/>
          </rPr>
          <t>Front Bias</t>
        </r>
        <r>
          <rPr>
            <b/>
            <sz val="8"/>
            <color indexed="81"/>
            <rFont val="Calibri"/>
            <family val="2"/>
          </rPr>
          <t xml:space="preserve">
</t>
        </r>
        <r>
          <rPr>
            <sz val="8"/>
            <color indexed="81"/>
            <rFont val="Calibri"/>
            <family val="2"/>
          </rPr>
          <t>Raise value to improve</t>
        </r>
        <r>
          <rPr>
            <b/>
            <sz val="8"/>
            <color indexed="81"/>
            <rFont val="Calibri"/>
            <family val="2"/>
          </rPr>
          <t xml:space="preserve"> corner entry response / corner exit grip
</t>
        </r>
        <r>
          <rPr>
            <sz val="8"/>
            <color indexed="81"/>
            <rFont val="Calibri"/>
            <family val="2"/>
          </rPr>
          <t xml:space="preserve">Lower value to improve </t>
        </r>
        <r>
          <rPr>
            <b/>
            <sz val="8"/>
            <color indexed="81"/>
            <rFont val="Calibri"/>
            <family val="2"/>
          </rPr>
          <t>corner entry grip / corner exit response</t>
        </r>
      </text>
    </comment>
    <comment ref="W23" authorId="0">
      <text>
        <r>
          <rPr>
            <b/>
            <sz val="8"/>
            <color indexed="10"/>
            <rFont val="Calibri"/>
            <family val="2"/>
          </rPr>
          <t>Strength</t>
        </r>
        <r>
          <rPr>
            <b/>
            <sz val="8"/>
            <color indexed="81"/>
            <rFont val="Calibri"/>
            <family val="2"/>
          </rPr>
          <t xml:space="preserve">
</t>
        </r>
        <r>
          <rPr>
            <sz val="8"/>
            <color indexed="81"/>
            <rFont val="Calibri"/>
            <family val="2"/>
          </rPr>
          <t>Raise</t>
        </r>
        <r>
          <rPr>
            <b/>
            <sz val="8"/>
            <color indexed="81"/>
            <rFont val="Calibri"/>
            <family val="2"/>
          </rPr>
          <t xml:space="preserve"> </t>
        </r>
        <r>
          <rPr>
            <sz val="8"/>
            <color indexed="81"/>
            <rFont val="Calibri"/>
            <family val="2"/>
          </rPr>
          <t>value to improve</t>
        </r>
        <r>
          <rPr>
            <b/>
            <sz val="8"/>
            <color indexed="81"/>
            <rFont val="Calibri"/>
            <family val="2"/>
          </rPr>
          <t xml:space="preserve"> stability</t>
        </r>
        <r>
          <rPr>
            <sz val="8"/>
            <color indexed="81"/>
            <rFont val="Calibri"/>
            <family val="2"/>
          </rPr>
          <t xml:space="preserve">
Lower value to improve</t>
        </r>
        <r>
          <rPr>
            <b/>
            <sz val="8"/>
            <color indexed="81"/>
            <rFont val="Calibri"/>
            <family val="2"/>
          </rPr>
          <t xml:space="preserve"> response</t>
        </r>
      </text>
    </comment>
    <comment ref="W24" authorId="0">
      <text>
        <r>
          <rPr>
            <b/>
            <sz val="8"/>
            <color indexed="10"/>
            <rFont val="Calibri"/>
            <family val="2"/>
          </rPr>
          <t>Front Bias</t>
        </r>
        <r>
          <rPr>
            <sz val="8"/>
            <color indexed="81"/>
            <rFont val="Calibri"/>
            <family val="2"/>
          </rPr>
          <t xml:space="preserve">
Raise value to increase </t>
        </r>
        <r>
          <rPr>
            <b/>
            <sz val="8"/>
            <color indexed="81"/>
            <rFont val="Calibri"/>
            <family val="2"/>
          </rPr>
          <t>oversteer</t>
        </r>
        <r>
          <rPr>
            <sz val="8"/>
            <color indexed="81"/>
            <rFont val="Calibri"/>
            <family val="2"/>
          </rPr>
          <t xml:space="preserve">
Lower value to increase</t>
        </r>
        <r>
          <rPr>
            <b/>
            <sz val="8"/>
            <color indexed="81"/>
            <rFont val="Calibri"/>
            <family val="2"/>
          </rPr>
          <t xml:space="preserve"> understeer</t>
        </r>
      </text>
    </comment>
    <comment ref="W27" authorId="0">
      <text>
        <r>
          <rPr>
            <b/>
            <sz val="8"/>
            <color indexed="10"/>
            <rFont val="Calibri"/>
            <family val="2"/>
          </rPr>
          <t>Strength</t>
        </r>
        <r>
          <rPr>
            <sz val="8"/>
            <color indexed="81"/>
            <rFont val="Calibri"/>
            <family val="2"/>
          </rPr>
          <t xml:space="preserve">
Raise value to improve turn </t>
        </r>
        <r>
          <rPr>
            <b/>
            <sz val="8"/>
            <color indexed="81"/>
            <rFont val="Calibri"/>
            <family val="2"/>
          </rPr>
          <t>exit</t>
        </r>
        <r>
          <rPr>
            <sz val="8"/>
            <color indexed="81"/>
            <rFont val="Calibri"/>
            <family val="2"/>
          </rPr>
          <t xml:space="preserve"> response
Lower value to improve turn </t>
        </r>
        <r>
          <rPr>
            <b/>
            <sz val="8"/>
            <color indexed="81"/>
            <rFont val="Calibri"/>
            <family val="2"/>
          </rPr>
          <t>entry</t>
        </r>
        <r>
          <rPr>
            <sz val="8"/>
            <color indexed="81"/>
            <rFont val="Calibri"/>
            <family val="2"/>
          </rPr>
          <t xml:space="preserve"> response</t>
        </r>
      </text>
    </comment>
    <comment ref="W28" authorId="0">
      <text>
        <r>
          <rPr>
            <b/>
            <sz val="8"/>
            <color indexed="10"/>
            <rFont val="Calibri"/>
            <family val="2"/>
          </rPr>
          <t>Front Bias</t>
        </r>
        <r>
          <rPr>
            <sz val="8"/>
            <color indexed="81"/>
            <rFont val="Calibri"/>
            <family val="2"/>
          </rPr>
          <t xml:space="preserve">
Raise value to improve </t>
        </r>
        <r>
          <rPr>
            <b/>
            <sz val="8"/>
            <color indexed="81"/>
            <rFont val="Calibri"/>
            <family val="2"/>
          </rPr>
          <t>stability</t>
        </r>
        <r>
          <rPr>
            <sz val="8"/>
            <color indexed="81"/>
            <rFont val="Calibri"/>
            <family val="2"/>
          </rPr>
          <t xml:space="preserve">
Lower value to improve </t>
        </r>
        <r>
          <rPr>
            <b/>
            <sz val="8"/>
            <color indexed="81"/>
            <rFont val="Calibri"/>
            <family val="2"/>
          </rPr>
          <t>response</t>
        </r>
      </text>
    </comment>
    <comment ref="W34" authorId="0">
      <text>
        <r>
          <rPr>
            <b/>
            <sz val="8"/>
            <color indexed="10"/>
            <rFont val="Calibri"/>
            <family val="2"/>
          </rPr>
          <t>Strength</t>
        </r>
        <r>
          <rPr>
            <b/>
            <sz val="8"/>
            <color indexed="81"/>
            <rFont val="Calibri"/>
            <family val="2"/>
          </rPr>
          <t xml:space="preserve">
</t>
        </r>
        <r>
          <rPr>
            <sz val="8"/>
            <color indexed="81"/>
            <rFont val="Calibri"/>
            <family val="2"/>
          </rPr>
          <t xml:space="preserve">Raise value to improve </t>
        </r>
        <r>
          <rPr>
            <b/>
            <sz val="8"/>
            <color indexed="81"/>
            <rFont val="Calibri"/>
            <family val="2"/>
          </rPr>
          <t>cornering</t>
        </r>
        <r>
          <rPr>
            <sz val="8"/>
            <color indexed="81"/>
            <rFont val="Calibri"/>
            <family val="2"/>
          </rPr>
          <t xml:space="preserve">
Lower value to increase </t>
        </r>
        <r>
          <rPr>
            <b/>
            <sz val="8"/>
            <color indexed="81"/>
            <rFont val="Calibri"/>
            <family val="2"/>
          </rPr>
          <t>speed</t>
        </r>
      </text>
    </comment>
    <comment ref="E35" authorId="0">
      <text>
        <r>
          <rPr>
            <b/>
            <sz val="8"/>
            <color indexed="10"/>
            <rFont val="Calibri"/>
            <family val="2"/>
          </rPr>
          <t>First Gear Ratio</t>
        </r>
        <r>
          <rPr>
            <b/>
            <sz val="8"/>
            <color indexed="81"/>
            <rFont val="Calibri"/>
            <family val="2"/>
          </rPr>
          <t xml:space="preserve">
</t>
        </r>
        <r>
          <rPr>
            <sz val="8"/>
            <color indexed="81"/>
            <rFont val="Calibri"/>
            <family val="2"/>
          </rPr>
          <t xml:space="preserve">Raise value to increase </t>
        </r>
        <r>
          <rPr>
            <b/>
            <sz val="8"/>
            <color indexed="81"/>
            <rFont val="Calibri"/>
            <family val="2"/>
          </rPr>
          <t>traction force</t>
        </r>
        <r>
          <rPr>
            <sz val="8"/>
            <color indexed="81"/>
            <rFont val="Calibri"/>
            <family val="2"/>
          </rPr>
          <t xml:space="preserve">
Lower value to increase </t>
        </r>
        <r>
          <rPr>
            <b/>
            <sz val="8"/>
            <color indexed="81"/>
            <rFont val="Calibri"/>
            <family val="2"/>
          </rPr>
          <t>speed in 1st  gear</t>
        </r>
      </text>
    </comment>
    <comment ref="W35" authorId="0">
      <text>
        <r>
          <rPr>
            <b/>
            <sz val="8"/>
            <color indexed="10"/>
            <rFont val="Calibri"/>
            <family val="2"/>
          </rPr>
          <t xml:space="preserve">Front Bias
</t>
        </r>
        <r>
          <rPr>
            <sz val="8"/>
            <color indexed="81"/>
            <rFont val="Calibri"/>
            <family val="2"/>
          </rPr>
          <t xml:space="preserve">Raise value to increase </t>
        </r>
        <r>
          <rPr>
            <b/>
            <sz val="8"/>
            <color indexed="81"/>
            <rFont val="Calibri"/>
            <family val="2"/>
          </rPr>
          <t xml:space="preserve">oversteer
</t>
        </r>
        <r>
          <rPr>
            <sz val="8"/>
            <color indexed="81"/>
            <rFont val="Calibri"/>
            <family val="2"/>
          </rPr>
          <t xml:space="preserve">Lower value to increase </t>
        </r>
        <r>
          <rPr>
            <b/>
            <sz val="8"/>
            <color indexed="81"/>
            <rFont val="Calibri"/>
            <family val="2"/>
          </rPr>
          <t>understeer</t>
        </r>
      </text>
    </comment>
  </commentList>
</comments>
</file>

<file path=xl/comments2.xml><?xml version="1.0" encoding="utf-8"?>
<comments xmlns="http://schemas.openxmlformats.org/spreadsheetml/2006/main">
  <authors>
    <author>Amado</author>
  </authors>
  <commentList>
    <comment ref="R13" authorId="0">
      <text>
        <r>
          <rPr>
            <b/>
            <sz val="8"/>
            <color indexed="10"/>
            <rFont val="Calibri"/>
            <family val="2"/>
          </rPr>
          <t>Roll Gradient</t>
        </r>
        <r>
          <rPr>
            <b/>
            <sz val="8"/>
            <color indexed="81"/>
            <rFont val="Calibri"/>
            <family val="2"/>
          </rPr>
          <t xml:space="preserve">
</t>
        </r>
        <r>
          <rPr>
            <sz val="8"/>
            <color indexed="81"/>
            <rFont val="Calibri"/>
            <family val="2"/>
          </rPr>
          <t>A lower roll gradient produces less body roll per degree of body roll, resulting in a stiffer vehicle in roll
A stiffer roll gradient will produce a car that is faster responding, but at the expense of mechanical grip over bumps in a corner</t>
        </r>
      </text>
    </comment>
    <comment ref="Q17" authorId="0">
      <text>
        <r>
          <rPr>
            <b/>
            <sz val="8"/>
            <color indexed="10"/>
            <rFont val="Calibri"/>
            <family val="2"/>
          </rPr>
          <t>Front Natural Frequency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Calibri"/>
            <family val="2"/>
          </rPr>
          <t>A higher front ride frequency allows faster response at corner entry, 
less ride height variation on the front and allows for better rear wheel traction on corner exit.</t>
        </r>
      </text>
    </comment>
    <comment ref="R17" authorId="0">
      <text>
        <r>
          <rPr>
            <b/>
            <sz val="8"/>
            <color indexed="10"/>
            <rFont val="Calibri"/>
            <family val="2"/>
          </rPr>
          <t>Rear Natural Frequency</t>
        </r>
        <r>
          <rPr>
            <sz val="8"/>
            <color indexed="81"/>
            <rFont val="Calibri"/>
            <family val="2"/>
          </rPr>
          <t xml:space="preserve">
To reduce the pitch induced by hitting a bump, the rear needs to have a higher natural frequency to “catch up” with the front</t>
        </r>
      </text>
    </comment>
    <comment ref="Q20" authorId="0">
      <text>
        <r>
          <rPr>
            <b/>
            <sz val="8"/>
            <color indexed="10"/>
            <rFont val="Calibri"/>
            <family val="2"/>
          </rPr>
          <t>Damping</t>
        </r>
        <r>
          <rPr>
            <b/>
            <sz val="8"/>
            <color indexed="81"/>
            <rFont val="Calibri"/>
            <family val="2"/>
          </rPr>
          <t xml:space="preserve">
Low </t>
        </r>
        <r>
          <rPr>
            <sz val="8"/>
            <color indexed="81"/>
            <rFont val="Calibri"/>
            <family val="2"/>
          </rPr>
          <t xml:space="preserve">for low speed cornering
</t>
        </r>
        <r>
          <rPr>
            <b/>
            <sz val="8"/>
            <color indexed="81"/>
            <rFont val="Calibri"/>
            <family val="2"/>
          </rPr>
          <t>High</t>
        </r>
        <r>
          <rPr>
            <sz val="8"/>
            <color indexed="81"/>
            <rFont val="Calibri"/>
            <family val="2"/>
          </rPr>
          <t xml:space="preserve"> for high speed cornering</t>
        </r>
      </text>
    </comment>
    <comment ref="N29" authorId="0">
      <text>
        <r>
          <rPr>
            <b/>
            <sz val="8"/>
            <color indexed="10"/>
            <rFont val="Calibri"/>
            <family val="2"/>
          </rPr>
          <t>Pressure Override</t>
        </r>
        <r>
          <rPr>
            <b/>
            <sz val="8"/>
            <color indexed="81"/>
            <rFont val="Calibri"/>
            <family val="2"/>
          </rPr>
          <t xml:space="preserve">
</t>
        </r>
        <r>
          <rPr>
            <sz val="8"/>
            <color indexed="81"/>
            <rFont val="Calibri"/>
            <family val="2"/>
          </rPr>
          <t>Override default target tire pressure to desired target tire pressure.</t>
        </r>
      </text>
    </comment>
    <comment ref="N30" authorId="0">
      <text>
        <r>
          <rPr>
            <b/>
            <sz val="8"/>
            <color indexed="10"/>
            <rFont val="Calibri"/>
            <family val="2"/>
          </rPr>
          <t>Temperature Override</t>
        </r>
        <r>
          <rPr>
            <sz val="8"/>
            <color indexed="81"/>
            <rFont val="Calibri"/>
            <family val="2"/>
          </rPr>
          <t xml:space="preserve">
Calibrate your average tire temperatures to achieve optimal base tire pressure.</t>
        </r>
      </text>
    </comment>
    <comment ref="Q36" authorId="0">
      <text>
        <r>
          <rPr>
            <b/>
            <sz val="8"/>
            <color indexed="10"/>
            <rFont val="Calibri"/>
            <family val="2"/>
          </rPr>
          <t>Strength</t>
        </r>
        <r>
          <rPr>
            <b/>
            <sz val="8"/>
            <color indexed="81"/>
            <rFont val="Calibri"/>
            <family val="2"/>
          </rPr>
          <t xml:space="preserve">
</t>
        </r>
        <r>
          <rPr>
            <sz val="8"/>
            <color indexed="81"/>
            <rFont val="Calibri"/>
            <family val="2"/>
          </rPr>
          <t xml:space="preserve">Raise value to improve </t>
        </r>
        <r>
          <rPr>
            <b/>
            <sz val="8"/>
            <color indexed="81"/>
            <rFont val="Calibri"/>
            <family val="2"/>
          </rPr>
          <t>cornering</t>
        </r>
        <r>
          <rPr>
            <sz val="8"/>
            <color indexed="81"/>
            <rFont val="Calibri"/>
            <family val="2"/>
          </rPr>
          <t xml:space="preserve">
Lower value to increase </t>
        </r>
        <r>
          <rPr>
            <b/>
            <sz val="8"/>
            <color indexed="81"/>
            <rFont val="Calibri"/>
            <family val="2"/>
          </rPr>
          <t>speed</t>
        </r>
      </text>
    </comment>
    <comment ref="Q37" authorId="0">
      <text>
        <r>
          <rPr>
            <b/>
            <sz val="8"/>
            <color indexed="10"/>
            <rFont val="Calibri"/>
            <family val="2"/>
          </rPr>
          <t xml:space="preserve">Front Bias
</t>
        </r>
        <r>
          <rPr>
            <sz val="8"/>
            <color indexed="81"/>
            <rFont val="Calibri"/>
            <family val="2"/>
          </rPr>
          <t xml:space="preserve">Raise value to increase </t>
        </r>
        <r>
          <rPr>
            <b/>
            <sz val="8"/>
            <color indexed="81"/>
            <rFont val="Calibri"/>
            <family val="2"/>
          </rPr>
          <t xml:space="preserve">oversteer
</t>
        </r>
        <r>
          <rPr>
            <sz val="8"/>
            <color indexed="81"/>
            <rFont val="Calibri"/>
            <family val="2"/>
          </rPr>
          <t xml:space="preserve">Lower value to increase </t>
        </r>
        <r>
          <rPr>
            <b/>
            <sz val="8"/>
            <color indexed="81"/>
            <rFont val="Calibri"/>
            <family val="2"/>
          </rPr>
          <t>understeer</t>
        </r>
      </text>
    </comment>
  </commentList>
</comments>
</file>

<file path=xl/comments3.xml><?xml version="1.0" encoding="utf-8"?>
<comments xmlns="http://schemas.openxmlformats.org/spreadsheetml/2006/main">
  <authors>
    <author>Amado</author>
  </authors>
  <commentList>
    <comment ref="AE42" authorId="0">
      <text>
        <r>
          <rPr>
            <sz val="8"/>
            <color indexed="81"/>
            <rFont val="Calibri"/>
            <family val="2"/>
          </rPr>
          <t>Slope of the line before peak torque</t>
        </r>
      </text>
    </comment>
    <comment ref="AF42" authorId="0">
      <text>
        <r>
          <rPr>
            <sz val="8"/>
            <color indexed="81"/>
            <rFont val="Calibri"/>
            <family val="2"/>
          </rPr>
          <t>y-intercept of the line before peak torque</t>
        </r>
      </text>
    </comment>
    <comment ref="AG42" authorId="0">
      <text>
        <r>
          <rPr>
            <sz val="8"/>
            <color indexed="81"/>
            <rFont val="Calibri"/>
            <family val="2"/>
          </rPr>
          <t>Slope of the line after peak torque</t>
        </r>
      </text>
    </comment>
    <comment ref="AH42" authorId="0">
      <text>
        <r>
          <rPr>
            <sz val="8"/>
            <color indexed="81"/>
            <rFont val="Calibri"/>
            <family val="2"/>
          </rPr>
          <t>y-intercept of the line after peak torque</t>
        </r>
      </text>
    </comment>
  </commentList>
</comments>
</file>

<file path=xl/comments4.xml><?xml version="1.0" encoding="utf-8"?>
<comments xmlns="http://schemas.openxmlformats.org/spreadsheetml/2006/main">
  <authors>
    <author>Amado</author>
  </authors>
  <commentList>
    <comment ref="A17" authorId="0">
      <text>
        <r>
          <rPr>
            <b/>
            <sz val="8"/>
            <color indexed="81"/>
            <rFont val="Calibri"/>
            <family val="2"/>
          </rPr>
          <t>Nm/deg twist</t>
        </r>
      </text>
    </comment>
    <comment ref="A25" authorId="0">
      <text>
        <r>
          <rPr>
            <b/>
            <sz val="8"/>
            <color indexed="81"/>
            <rFont val="Calibri"/>
            <family val="2"/>
          </rPr>
          <t>N/(mm/s)</t>
        </r>
      </text>
    </comment>
  </commentList>
</comments>
</file>

<file path=xl/sharedStrings.xml><?xml version="1.0" encoding="utf-8"?>
<sst xmlns="http://schemas.openxmlformats.org/spreadsheetml/2006/main" count="3217" uniqueCount="1178">
  <si>
    <t>Tire Width</t>
  </si>
  <si>
    <t>Aspect Ratio</t>
  </si>
  <si>
    <t>Rim Size</t>
  </si>
  <si>
    <t>Redline RPM</t>
  </si>
  <si>
    <t>Power RPM</t>
  </si>
  <si>
    <t>Torque RPM</t>
  </si>
  <si>
    <t>1/4 Mile Top Speed</t>
  </si>
  <si>
    <t>Overdrive Ratio</t>
  </si>
  <si>
    <t>Final Drive Ratio</t>
  </si>
  <si>
    <t>1st</t>
  </si>
  <si>
    <t>2nd</t>
  </si>
  <si>
    <t>3rd</t>
  </si>
  <si>
    <t>4th</t>
  </si>
  <si>
    <t>Starting Line Ratio</t>
  </si>
  <si>
    <t>Torque</t>
  </si>
  <si>
    <t>Tire Radius</t>
  </si>
  <si>
    <t>Forward Gears</t>
  </si>
  <si>
    <t>RPM</t>
  </si>
  <si>
    <t>Tire Diameter</t>
  </si>
  <si>
    <t>Tire Circumference</t>
  </si>
  <si>
    <t>Power</t>
  </si>
  <si>
    <t>in</t>
  </si>
  <si>
    <t>%</t>
  </si>
  <si>
    <t>mm</t>
  </si>
  <si>
    <t>INPUT</t>
  </si>
  <si>
    <t>Curb Weight</t>
  </si>
  <si>
    <t>Front Weight</t>
  </si>
  <si>
    <t>Drive Type</t>
  </si>
  <si>
    <t>Front</t>
  </si>
  <si>
    <t>Rear</t>
  </si>
  <si>
    <t>Name</t>
  </si>
  <si>
    <t>Front Tires</t>
  </si>
  <si>
    <t>Rear Tires</t>
  </si>
  <si>
    <t>°</t>
  </si>
  <si>
    <t>Anti-roll Bars</t>
  </si>
  <si>
    <t>Springs</t>
  </si>
  <si>
    <t>Rebound Stiffness</t>
  </si>
  <si>
    <t>Bump Stiffness</t>
  </si>
  <si>
    <t>Downforce</t>
  </si>
  <si>
    <t>Aero</t>
  </si>
  <si>
    <t>Units</t>
  </si>
  <si>
    <t>Acc-Front</t>
  </si>
  <si>
    <t>Dec-Front</t>
  </si>
  <si>
    <t>Acc-Rear</t>
  </si>
  <si>
    <t>Dec-Rear</t>
  </si>
  <si>
    <t>-</t>
  </si>
  <si>
    <t>Tire Pressure Factor</t>
  </si>
  <si>
    <t>Spring Rate Factor</t>
  </si>
  <si>
    <t>Roll Bar Base</t>
  </si>
  <si>
    <t>Spring Base</t>
  </si>
  <si>
    <t>Rebound Base</t>
  </si>
  <si>
    <t>Bump Base</t>
  </si>
  <si>
    <t>Unmodified Spring Rate</t>
  </si>
  <si>
    <t>Strength</t>
  </si>
  <si>
    <t>Front Bias</t>
  </si>
  <si>
    <t>Modified SWR</t>
  </si>
  <si>
    <t>Unmodified SWR</t>
  </si>
  <si>
    <t>Final Drive</t>
  </si>
  <si>
    <t>1 - 2</t>
  </si>
  <si>
    <t>2 - 3</t>
  </si>
  <si>
    <t>3 - 4</t>
  </si>
  <si>
    <t>Unit Factors</t>
  </si>
  <si>
    <t>Ideal Torque</t>
  </si>
  <si>
    <t>Top Speed</t>
  </si>
  <si>
    <t>Overall:</t>
  </si>
  <si>
    <t>Torque Curve</t>
  </si>
  <si>
    <t>Optimal Clutch Dump</t>
  </si>
  <si>
    <t>Launch</t>
  </si>
  <si>
    <t>Air Density</t>
  </si>
  <si>
    <t>RPM Factor</t>
  </si>
  <si>
    <t>ADVANCED</t>
  </si>
  <si>
    <t>Transmission</t>
  </si>
  <si>
    <t>Slave Munky</t>
  </si>
  <si>
    <t>Suspension Dynamics</t>
  </si>
  <si>
    <t>Beta Testers</t>
  </si>
  <si>
    <t>Design</t>
  </si>
  <si>
    <t>Metric Conversion</t>
  </si>
  <si>
    <t>Gravitational Factor</t>
  </si>
  <si>
    <t>CALCULATION DATA &amp; FACTORS</t>
  </si>
  <si>
    <t>Acura</t>
  </si>
  <si>
    <t>#15 Lowe's Fernandez ARX-01b</t>
  </si>
  <si>
    <t>#26 Andretti-Green Racing ARX-01b</t>
  </si>
  <si>
    <t>NSX</t>
  </si>
  <si>
    <t>RSX Type-S</t>
  </si>
  <si>
    <t>Alfa Romeo</t>
  </si>
  <si>
    <t>8C Competizione</t>
  </si>
  <si>
    <t>Brera Italia Independent</t>
  </si>
  <si>
    <t>Aston Martin</t>
  </si>
  <si>
    <t>#007 Aston Martin Racing DBR9</t>
  </si>
  <si>
    <t>#009 Aston Martin Racing DBR9</t>
  </si>
  <si>
    <t>DB9 Coupe</t>
  </si>
  <si>
    <t>Audi</t>
  </si>
  <si>
    <t>#2 Audi Sport North America R10 TDI</t>
  </si>
  <si>
    <t>Q7 V12 TDI</t>
  </si>
  <si>
    <t>RS 4</t>
  </si>
  <si>
    <t>RS 6</t>
  </si>
  <si>
    <t>S4</t>
  </si>
  <si>
    <t>S5</t>
  </si>
  <si>
    <t>Sport Quattro</t>
  </si>
  <si>
    <t>TT Coupe 3.2 quattro</t>
  </si>
  <si>
    <t>TT Coupe S-Line</t>
  </si>
  <si>
    <t>Bentley</t>
  </si>
  <si>
    <t>Continental GT</t>
  </si>
  <si>
    <t>135i Coupe</t>
  </si>
  <si>
    <t>3.0 CSL</t>
  </si>
  <si>
    <t>#92 Rahal Letterman Racing M3 GT2</t>
  </si>
  <si>
    <t>M3 E36</t>
  </si>
  <si>
    <t>M3 E30</t>
  </si>
  <si>
    <t>M3 E92</t>
  </si>
  <si>
    <t>M5 E60</t>
  </si>
  <si>
    <t>Z4 M Coupe</t>
  </si>
  <si>
    <t>Bugatti</t>
  </si>
  <si>
    <t>Veyron 16.4</t>
  </si>
  <si>
    <t>Cadillac</t>
  </si>
  <si>
    <t>CTS-V</t>
  </si>
  <si>
    <t>Chevrolet</t>
  </si>
  <si>
    <t>#3 Corvette Racing C5.R</t>
  </si>
  <si>
    <t>#4 Corvette Racing C6.R</t>
  </si>
  <si>
    <t>Camaro 35th Anniversary SS</t>
  </si>
  <si>
    <t>Camaro IROC-Z</t>
  </si>
  <si>
    <t>Camaro SS</t>
  </si>
  <si>
    <t>Camaro SS Coupe</t>
  </si>
  <si>
    <t>Camaro Z28</t>
  </si>
  <si>
    <t>Corvette Z06</t>
  </si>
  <si>
    <t>Chrysler</t>
  </si>
  <si>
    <t>300C SRT-8</t>
  </si>
  <si>
    <t>Crossfire SRT6</t>
  </si>
  <si>
    <t>C4 VTS</t>
  </si>
  <si>
    <t>Dodge</t>
  </si>
  <si>
    <t>Challenger R/T Hemi</t>
  </si>
  <si>
    <t>Charger R/T</t>
  </si>
  <si>
    <t>Charger SRT8</t>
  </si>
  <si>
    <t>Ram SRT-10</t>
  </si>
  <si>
    <t>Viper Competition Coupe</t>
  </si>
  <si>
    <t>Ferrari</t>
  </si>
  <si>
    <t>250 GTO</t>
  </si>
  <si>
    <t>330 P4</t>
  </si>
  <si>
    <t>F355 Berlinetta</t>
  </si>
  <si>
    <t>F355 Challenge</t>
  </si>
  <si>
    <t>360 Modena</t>
  </si>
  <si>
    <t>512 TR</t>
  </si>
  <si>
    <t>575M Maranello</t>
  </si>
  <si>
    <t>599 GTB Fiorano</t>
  </si>
  <si>
    <t>612 Scaglietti</t>
  </si>
  <si>
    <t>California</t>
  </si>
  <si>
    <t>Dino 246 GT</t>
  </si>
  <si>
    <t>Enzo Ferrari</t>
  </si>
  <si>
    <t>F40</t>
  </si>
  <si>
    <t>F40 Competizione</t>
  </si>
  <si>
    <t>F430</t>
  </si>
  <si>
    <t>F50</t>
  </si>
  <si>
    <t>F50 GT</t>
  </si>
  <si>
    <t>FXX</t>
  </si>
  <si>
    <t>GTO</t>
  </si>
  <si>
    <t>Fiat</t>
  </si>
  <si>
    <t>Ford</t>
  </si>
  <si>
    <t>#5 Ford Performance Racing FG Falcon</t>
  </si>
  <si>
    <t>Fiesta Zetec S</t>
  </si>
  <si>
    <t>Focus RS</t>
  </si>
  <si>
    <t>Focus ST</t>
  </si>
  <si>
    <t>Mustang Boss 429</t>
  </si>
  <si>
    <t>Mustang Cobra R</t>
  </si>
  <si>
    <t>RS200 Evolution</t>
  </si>
  <si>
    <t>Holden</t>
  </si>
  <si>
    <t>Honda</t>
  </si>
  <si>
    <t>Mugen Civic Type-R</t>
  </si>
  <si>
    <t>Civic Si Coupe</t>
  </si>
  <si>
    <t>Civic Type-R</t>
  </si>
  <si>
    <t>CR-X SiR</t>
  </si>
  <si>
    <t>Fit Sport</t>
  </si>
  <si>
    <t>Integra Type-R</t>
  </si>
  <si>
    <t>NSX-R</t>
  </si>
  <si>
    <t>S2000</t>
  </si>
  <si>
    <t>Hyundai</t>
  </si>
  <si>
    <t>Genesis Coupe</t>
  </si>
  <si>
    <t>Tuscani Elisa</t>
  </si>
  <si>
    <t>Infiniti</t>
  </si>
  <si>
    <t>G37 Coupe Sport</t>
  </si>
  <si>
    <t>Jaguar</t>
  </si>
  <si>
    <t>XKR-S</t>
  </si>
  <si>
    <t>Koenigsegg</t>
  </si>
  <si>
    <t>CCGT</t>
  </si>
  <si>
    <t>Lamborghini</t>
  </si>
  <si>
    <t>Countach LP5000 QV</t>
  </si>
  <si>
    <t>Diablo SV</t>
  </si>
  <si>
    <t>Gallardo</t>
  </si>
  <si>
    <t>Miura Concept</t>
  </si>
  <si>
    <t>Murcielago</t>
  </si>
  <si>
    <t>Murcielago LP640</t>
  </si>
  <si>
    <t>Reventon</t>
  </si>
  <si>
    <t>Lexus</t>
  </si>
  <si>
    <t>IS300</t>
  </si>
  <si>
    <t>IS350</t>
  </si>
  <si>
    <t>SC430</t>
  </si>
  <si>
    <t>Lotus</t>
  </si>
  <si>
    <t>Elise 111S</t>
  </si>
  <si>
    <t>Evora</t>
  </si>
  <si>
    <t>Exige Cup 240</t>
  </si>
  <si>
    <t>Land Rover</t>
  </si>
  <si>
    <t>Range Rover Supercharged</t>
  </si>
  <si>
    <t>Maserati</t>
  </si>
  <si>
    <t>#15 JMB Racing MC12</t>
  </si>
  <si>
    <t>MC12</t>
  </si>
  <si>
    <t>Mazda</t>
  </si>
  <si>
    <t>#16 Dyson Racing B09/86</t>
  </si>
  <si>
    <t>Mazdaspeed 3</t>
  </si>
  <si>
    <t>MX-5 Roadster Coupe</t>
  </si>
  <si>
    <t>Mazdaspeed Roadster</t>
  </si>
  <si>
    <t>RX-7</t>
  </si>
  <si>
    <t>RX-7 Spirit R Type-A</t>
  </si>
  <si>
    <t>RX-8 Mazdaspeed</t>
  </si>
  <si>
    <t>McLaren</t>
  </si>
  <si>
    <t>F1 GT</t>
  </si>
  <si>
    <t>C32 AMG</t>
  </si>
  <si>
    <t>SLR</t>
  </si>
  <si>
    <t>Cooper S</t>
  </si>
  <si>
    <t>Mitsubishi</t>
  </si>
  <si>
    <t>Eclipse GT</t>
  </si>
  <si>
    <t>Lancer Evolution IX MR</t>
  </si>
  <si>
    <t>Lancer Evolution VI GSR</t>
  </si>
  <si>
    <t>Lancer Evolution VIII MR</t>
  </si>
  <si>
    <t>Lancer Evolution X GSR</t>
  </si>
  <si>
    <t>Nissan</t>
  </si>
  <si>
    <t>370Z</t>
  </si>
  <si>
    <t>Datsun 510</t>
  </si>
  <si>
    <t>Fairlady Z Version S Twin Turbo</t>
  </si>
  <si>
    <t>Sentra SE-R Spec V</t>
  </si>
  <si>
    <t>Versa SL</t>
  </si>
  <si>
    <t>Opel</t>
  </si>
  <si>
    <t>Speedster Turbo</t>
  </si>
  <si>
    <t>Pagani</t>
  </si>
  <si>
    <t>#17 Carsport America Zonda GR</t>
  </si>
  <si>
    <t>Zonda C12</t>
  </si>
  <si>
    <t>Panoz</t>
  </si>
  <si>
    <t>Esperante GTLM</t>
  </si>
  <si>
    <t>Peugeot</t>
  </si>
  <si>
    <t>206 RC</t>
  </si>
  <si>
    <t>207 RC</t>
  </si>
  <si>
    <t>207 Super 2000</t>
  </si>
  <si>
    <t>Pontiac</t>
  </si>
  <si>
    <t>G8 GXP</t>
  </si>
  <si>
    <t>Firebird Trans Am Ram Air</t>
  </si>
  <si>
    <t>Firebird Trans Am SD-455</t>
  </si>
  <si>
    <t>Firebird Trans Am GTA</t>
  </si>
  <si>
    <t>Renault</t>
  </si>
  <si>
    <t>5 Turbo</t>
  </si>
  <si>
    <t>Saab</t>
  </si>
  <si>
    <t>9-3 Turbo X</t>
  </si>
  <si>
    <t>Saleen</t>
  </si>
  <si>
    <t>S281 E</t>
  </si>
  <si>
    <t>S331 Supercab</t>
  </si>
  <si>
    <t>S7</t>
  </si>
  <si>
    <t>Saturn</t>
  </si>
  <si>
    <t>ION Red Line</t>
  </si>
  <si>
    <t>Sky Red Line</t>
  </si>
  <si>
    <t>Scion</t>
  </si>
  <si>
    <t>tC</t>
  </si>
  <si>
    <t>xD</t>
  </si>
  <si>
    <t>SEAT</t>
  </si>
  <si>
    <t>Ibiza Cupra</t>
  </si>
  <si>
    <t>Leon Cupra</t>
  </si>
  <si>
    <t>Leon Supercup</t>
  </si>
  <si>
    <t>Shelby GT500</t>
  </si>
  <si>
    <t>Shelby</t>
  </si>
  <si>
    <t>Subaru</t>
  </si>
  <si>
    <t>Impreza S204</t>
  </si>
  <si>
    <t>Impreza WRX STi</t>
  </si>
  <si>
    <t>Toyota</t>
  </si>
  <si>
    <t>Altezza RS200</t>
  </si>
  <si>
    <t>Celica SS-I</t>
  </si>
  <si>
    <t>Celica GT-Four ST205</t>
  </si>
  <si>
    <t>Celica Supra</t>
  </si>
  <si>
    <t>MR-S</t>
  </si>
  <si>
    <t>Sprinter Trueno GT Apex</t>
  </si>
  <si>
    <t>Yaris S</t>
  </si>
  <si>
    <t>TVR</t>
  </si>
  <si>
    <t>Sagaris</t>
  </si>
  <si>
    <t>Vauxhall</t>
  </si>
  <si>
    <t>Astra VXR</t>
  </si>
  <si>
    <t>Corsa VXR</t>
  </si>
  <si>
    <t>VX220 Turbo</t>
  </si>
  <si>
    <t>Volvo</t>
  </si>
  <si>
    <t>C30 R-Design</t>
  </si>
  <si>
    <t>Volkswagen</t>
  </si>
  <si>
    <t>Bora VR6</t>
  </si>
  <si>
    <t>Corrado VR6</t>
  </si>
  <si>
    <t>Scirocco GT</t>
  </si>
  <si>
    <t>Touareg R50</t>
  </si>
  <si>
    <t>Civic 1.5 VTi</t>
  </si>
  <si>
    <t>CR-X Del Sol SiR</t>
  </si>
  <si>
    <t>Prelude SiR</t>
  </si>
  <si>
    <t>Axela Sport 23S</t>
  </si>
  <si>
    <t>Mazdaspeed Familia</t>
  </si>
  <si>
    <t>Eclipse GSX</t>
  </si>
  <si>
    <t>Eclipse GTS</t>
  </si>
  <si>
    <t>FTO GP Version R</t>
  </si>
  <si>
    <t>#46 Dream Cube's ADVAN Z</t>
  </si>
  <si>
    <t>Fairlady Z 432</t>
  </si>
  <si>
    <t>R390</t>
  </si>
  <si>
    <t>Skyline Coupe 350GT</t>
  </si>
  <si>
    <t>2000GT</t>
  </si>
  <si>
    <t>MR2 GT</t>
  </si>
  <si>
    <t>Soarer 430SCV</t>
  </si>
  <si>
    <t>Supra 2.0 GT Twin Turbo</t>
  </si>
  <si>
    <t>Top Secret 0-300 Supra</t>
  </si>
  <si>
    <t>V12 Vanquish</t>
  </si>
  <si>
    <t>#8 Audi ABT TT-R</t>
  </si>
  <si>
    <t>#7 Team Bentley Speed 8</t>
  </si>
  <si>
    <t>#12 Risi Competizione F333 SP</t>
  </si>
  <si>
    <t>E-type S1</t>
  </si>
  <si>
    <t>XJ220</t>
  </si>
  <si>
    <t>CC8S</t>
  </si>
  <si>
    <t>Lancia</t>
  </si>
  <si>
    <t>Stratos HF Stradale</t>
  </si>
  <si>
    <t>Carlton</t>
  </si>
  <si>
    <t>Elan Sprint</t>
  </si>
  <si>
    <t>Esprit V8</t>
  </si>
  <si>
    <t>GranSport</t>
  </si>
  <si>
    <t>300SL Gullwing Coupe</t>
  </si>
  <si>
    <t>#3 Peugeot Talbot Sport 905 EVO 1C</t>
  </si>
  <si>
    <t>9-3 Aero</t>
  </si>
  <si>
    <t>Leon Cupra R</t>
  </si>
  <si>
    <t>Cerbera Speed 12</t>
  </si>
  <si>
    <t>Tuscan S</t>
  </si>
  <si>
    <t>Monaro VXR</t>
  </si>
  <si>
    <t>Buick</t>
  </si>
  <si>
    <t>Regal GNX</t>
  </si>
  <si>
    <t>#6 Team Cadillac Northstar LMP-02</t>
  </si>
  <si>
    <t>Corvette Grand Sport</t>
  </si>
  <si>
    <t>PT Cruiser GT</t>
  </si>
  <si>
    <t>#126 Team Zakspeed Viper GTS-R</t>
  </si>
  <si>
    <t>Stealth R/T Turbo</t>
  </si>
  <si>
    <t>Viper GTS ACR</t>
  </si>
  <si>
    <t>Mustang GT</t>
  </si>
  <si>
    <t>#11 JML Team Panoz LMP-01</t>
  </si>
  <si>
    <t>S281</t>
  </si>
  <si>
    <t>Cobra 427 S/C</t>
  </si>
  <si>
    <t>Series 1</t>
  </si>
  <si>
    <t>DBS</t>
  </si>
  <si>
    <t>Corvette ZR1</t>
  </si>
  <si>
    <t>430 Scuderia</t>
  </si>
  <si>
    <t>Gallardo Superleggera</t>
  </si>
  <si>
    <t>Giulia Sprint GTA Stradale</t>
  </si>
  <si>
    <t>DB5 Vantage</t>
  </si>
  <si>
    <t>M1</t>
  </si>
  <si>
    <t>250 Testa Rossa</t>
  </si>
  <si>
    <t>Miura P400</t>
  </si>
  <si>
    <t>Skyline 2000GT-R</t>
  </si>
  <si>
    <t>Cobra Daytona Coupe</t>
  </si>
  <si>
    <t>A</t>
  </si>
  <si>
    <t>Charger Daytona Hemi</t>
  </si>
  <si>
    <t>year</t>
  </si>
  <si>
    <t>make</t>
  </si>
  <si>
    <t>model</t>
  </si>
  <si>
    <t>class</t>
  </si>
  <si>
    <t>pi</t>
  </si>
  <si>
    <t>speed</t>
  </si>
  <si>
    <t>handling</t>
  </si>
  <si>
    <t>acceleration</t>
  </si>
  <si>
    <t>launch</t>
  </si>
  <si>
    <t>braking</t>
  </si>
  <si>
    <t>country</t>
  </si>
  <si>
    <t>notes</t>
  </si>
  <si>
    <t>tire pressure</t>
  </si>
  <si>
    <t>front</t>
  </si>
  <si>
    <t>rear</t>
  </si>
  <si>
    <t>forward gears</t>
  </si>
  <si>
    <t>final drive</t>
  </si>
  <si>
    <t>angle</t>
  </si>
  <si>
    <t>TUNE SETUP</t>
  </si>
  <si>
    <t>camber</t>
  </si>
  <si>
    <t>toe</t>
  </si>
  <si>
    <t>front caster</t>
  </si>
  <si>
    <t>anti-roll bars</t>
  </si>
  <si>
    <t>springs</t>
  </si>
  <si>
    <t>rebound stiffness</t>
  </si>
  <si>
    <t>bump stiffness</t>
  </si>
  <si>
    <t>braking force</t>
  </si>
  <si>
    <t>balance</t>
  </si>
  <si>
    <t>pressure</t>
  </si>
  <si>
    <t>deceleration</t>
  </si>
  <si>
    <t>Mercedes-Benz</t>
  </si>
  <si>
    <t>5Zigen</t>
  </si>
  <si>
    <t>Advan</t>
  </si>
  <si>
    <t>American Racing</t>
  </si>
  <si>
    <t>Asanti</t>
  </si>
  <si>
    <t>ATS</t>
  </si>
  <si>
    <t>BBS</t>
  </si>
  <si>
    <t>Blitz</t>
  </si>
  <si>
    <t>Borbet</t>
  </si>
  <si>
    <t>Boyd Coddington</t>
  </si>
  <si>
    <t>Brabus</t>
  </si>
  <si>
    <t>Buddy Club</t>
  </si>
  <si>
    <t>Center Line</t>
  </si>
  <si>
    <t>Compomotive</t>
  </si>
  <si>
    <t>Cragar</t>
  </si>
  <si>
    <t>Dropstars</t>
  </si>
  <si>
    <t>DUB</t>
  </si>
  <si>
    <t>Dymag</t>
  </si>
  <si>
    <t>EnKei</t>
  </si>
  <si>
    <t>Fikse</t>
  </si>
  <si>
    <t>1/4 Mile ET</t>
  </si>
  <si>
    <t>Revolutions Per Mile</t>
  </si>
  <si>
    <t>price</t>
  </si>
  <si>
    <t>Gemballa</t>
  </si>
  <si>
    <t>Gram Lights</t>
  </si>
  <si>
    <t>Halibrand</t>
  </si>
  <si>
    <t>Hamann</t>
  </si>
  <si>
    <t>Hole Shot Wheels</t>
  </si>
  <si>
    <t>HRE</t>
  </si>
  <si>
    <t>iForged</t>
  </si>
  <si>
    <t>Kosei</t>
  </si>
  <si>
    <t>Konig</t>
  </si>
  <si>
    <t>Lexani</t>
  </si>
  <si>
    <t>Lorinser</t>
  </si>
  <si>
    <t>Lowenhart</t>
  </si>
  <si>
    <t>Mickey Thompson</t>
  </si>
  <si>
    <t>Modulare</t>
  </si>
  <si>
    <t>Momo</t>
  </si>
  <si>
    <t>Motegi Racing</t>
  </si>
  <si>
    <t>Oettinger</t>
  </si>
  <si>
    <t>OZ Racing</t>
  </si>
  <si>
    <t>Racing Dynamics</t>
  </si>
  <si>
    <t>Racing Hart</t>
  </si>
  <si>
    <t>RO_JA Motorsports</t>
  </si>
  <si>
    <t>Rota</t>
  </si>
  <si>
    <t>RS Watanabe</t>
  </si>
  <si>
    <t>Speedline Corse</t>
  </si>
  <si>
    <t>Team Dynamics Racing</t>
  </si>
  <si>
    <t>Tenzo R</t>
  </si>
  <si>
    <t>TSW</t>
  </si>
  <si>
    <t>Volk Racing</t>
  </si>
  <si>
    <t>WedsSport</t>
  </si>
  <si>
    <t>Weld Racing</t>
  </si>
  <si>
    <t>Work</t>
  </si>
  <si>
    <t>Zender</t>
  </si>
  <si>
    <t>FN01R-C</t>
  </si>
  <si>
    <t>GN+</t>
  </si>
  <si>
    <t>ZR+520</t>
  </si>
  <si>
    <t>RGII</t>
  </si>
  <si>
    <t>Super Advan Racing Version 2</t>
  </si>
  <si>
    <t>Torq-Thrust M</t>
  </si>
  <si>
    <t>Outlaw II</t>
  </si>
  <si>
    <t>AF 118</t>
  </si>
  <si>
    <t>AF 134</t>
  </si>
  <si>
    <t>AF 140</t>
  </si>
  <si>
    <t>Classic</t>
  </si>
  <si>
    <t>RK</t>
  </si>
  <si>
    <t>RE</t>
  </si>
  <si>
    <t>RS-GT</t>
  </si>
  <si>
    <t>Technospeed Type 03</t>
  </si>
  <si>
    <t>Technospeed Z1</t>
  </si>
  <si>
    <t>CB</t>
  </si>
  <si>
    <t>Slayer</t>
  </si>
  <si>
    <t>Monoblock IV</t>
  </si>
  <si>
    <t>Monoblock VI</t>
  </si>
  <si>
    <t>Monoblock S</t>
  </si>
  <si>
    <t>P1 Racing QF</t>
  </si>
  <si>
    <t>Auto Drag III</t>
  </si>
  <si>
    <t>CXR</t>
  </si>
  <si>
    <t>ML</t>
  </si>
  <si>
    <t>TH2</t>
  </si>
  <si>
    <t>MO5</t>
  </si>
  <si>
    <t>Smoothie</t>
  </si>
  <si>
    <t>Street Lock D Window</t>
  </si>
  <si>
    <t>S/S Super Sport</t>
  </si>
  <si>
    <t>DSO3</t>
  </si>
  <si>
    <t>Big Chips</t>
  </si>
  <si>
    <t>Presidential</t>
  </si>
  <si>
    <t>9 Spoke</t>
  </si>
  <si>
    <t>RPF1</t>
  </si>
  <si>
    <t>NT03+M</t>
  </si>
  <si>
    <t>RS6</t>
  </si>
  <si>
    <t>Tarmac Evo</t>
  </si>
  <si>
    <t>Profil 5</t>
  </si>
  <si>
    <t>Profil 5S</t>
  </si>
  <si>
    <t>FM/10</t>
  </si>
  <si>
    <t>Le Mans</t>
  </si>
  <si>
    <t>Turbo Sport</t>
  </si>
  <si>
    <t>57C</t>
  </si>
  <si>
    <t>57 OPTIMISE</t>
  </si>
  <si>
    <t>T57-RC</t>
  </si>
  <si>
    <t>Sprint II</t>
  </si>
  <si>
    <t>PG-III</t>
  </si>
  <si>
    <t>Edition Race</t>
  </si>
  <si>
    <t>Hole Star</t>
  </si>
  <si>
    <t>Solid</t>
  </si>
  <si>
    <t>445R</t>
  </si>
  <si>
    <t>546R</t>
  </si>
  <si>
    <t>Astra</t>
  </si>
  <si>
    <t>Fabulous</t>
  </si>
  <si>
    <t>K1-Racing TS-Version</t>
  </si>
  <si>
    <t>RT SPORT</t>
  </si>
  <si>
    <t>After Burner</t>
  </si>
  <si>
    <t>Britelite</t>
  </si>
  <si>
    <t>Daylite</t>
  </si>
  <si>
    <t>LTC-701</t>
  </si>
  <si>
    <t>LTC-704</t>
  </si>
  <si>
    <t>Mistik Spikes</t>
  </si>
  <si>
    <t>RSK-6</t>
  </si>
  <si>
    <t>LM 6</t>
  </si>
  <si>
    <t>LDR</t>
  </si>
  <si>
    <t>ET Drag</t>
  </si>
  <si>
    <t>Classic Lock</t>
  </si>
  <si>
    <t>M3</t>
  </si>
  <si>
    <t>M7</t>
  </si>
  <si>
    <t>GTR</t>
  </si>
  <si>
    <t>TEN-S</t>
  </si>
  <si>
    <t>TRAKLITE 2.0</t>
  </si>
  <si>
    <t>SP10</t>
  </si>
  <si>
    <t>TRAKLITE 1.0</t>
  </si>
  <si>
    <t>Type RXX</t>
  </si>
  <si>
    <t>Type RE</t>
  </si>
  <si>
    <t>Superleggera III Forged</t>
  </si>
  <si>
    <t>Superturismo GT</t>
  </si>
  <si>
    <t>RS 2 Modular</t>
  </si>
  <si>
    <t>RGS</t>
  </si>
  <si>
    <t>J5 Pro</t>
  </si>
  <si>
    <t>C4</t>
  </si>
  <si>
    <t>R2-7</t>
  </si>
  <si>
    <t>R2-5</t>
  </si>
  <si>
    <t>J.SPL</t>
  </si>
  <si>
    <t>P45R</t>
  </si>
  <si>
    <t>Tarmac 3</t>
  </si>
  <si>
    <t>Cyclone</t>
  </si>
  <si>
    <t>Pro Race 1</t>
  </si>
  <si>
    <t>Pro Race 2</t>
  </si>
  <si>
    <t>DC-6 V1</t>
  </si>
  <si>
    <t>RS-5</t>
  </si>
  <si>
    <t>Trackstar 4</t>
  </si>
  <si>
    <t>Catalunya</t>
  </si>
  <si>
    <t>Hockenheim R</t>
  </si>
  <si>
    <t>RE30</t>
  </si>
  <si>
    <t>TE37</t>
  </si>
  <si>
    <t>SA-70</t>
  </si>
  <si>
    <t>SA-97 F</t>
  </si>
  <si>
    <t>TC 105 N</t>
  </si>
  <si>
    <t>AlumaStar 2.0 Drag Race</t>
  </si>
  <si>
    <t>XD9</t>
  </si>
  <si>
    <t>CRkai</t>
  </si>
  <si>
    <t>Equip 01</t>
  </si>
  <si>
    <t>Design DH</t>
  </si>
  <si>
    <t>Challenge</t>
  </si>
  <si>
    <t>Dynamic</t>
  </si>
  <si>
    <t>Turbo 2</t>
  </si>
  <si>
    <t>458 Italia</t>
  </si>
  <si>
    <t>Unloaded Sidewall</t>
  </si>
  <si>
    <t>Tire Pressure</t>
  </si>
  <si>
    <t>Tread Width</t>
  </si>
  <si>
    <t>Weight</t>
  </si>
  <si>
    <t>Contact Patch</t>
  </si>
  <si>
    <t>Loaded Radius</t>
  </si>
  <si>
    <t>Tire Rate</t>
  </si>
  <si>
    <t>TIRE DEFLECTION</t>
  </si>
  <si>
    <t>Gearing</t>
  </si>
  <si>
    <t>Benchmark</t>
  </si>
  <si>
    <t>Tire Dynamics</t>
  </si>
  <si>
    <t>Traction</t>
  </si>
  <si>
    <t>Tires</t>
  </si>
  <si>
    <t>Rim Styles</t>
  </si>
  <si>
    <t>1/8 Mile ET</t>
  </si>
  <si>
    <t>Lateral G's</t>
  </si>
  <si>
    <t>Vehicle Data</t>
  </si>
  <si>
    <t>#2 Audi Sport Team Joest R15 TDI</t>
  </si>
  <si>
    <t>599XX</t>
  </si>
  <si>
    <t>GT-R SpecV</t>
  </si>
  <si>
    <t>#007 Aston Martin Lola</t>
  </si>
  <si>
    <t>XFR</t>
  </si>
  <si>
    <t>SLR Stirling Moss</t>
  </si>
  <si>
    <t>torque</t>
  </si>
  <si>
    <t>power</t>
  </si>
  <si>
    <t>weight</t>
  </si>
  <si>
    <t>Class</t>
  </si>
  <si>
    <t>Launch Factor</t>
  </si>
  <si>
    <t>Optimal Shift Points</t>
  </si>
  <si>
    <t>power rpm</t>
  </si>
  <si>
    <t>torque rpm</t>
  </si>
  <si>
    <t>redline rpm</t>
  </si>
  <si>
    <t>lateral g's</t>
  </si>
  <si>
    <t>front tires</t>
  </si>
  <si>
    <t>rear tires</t>
  </si>
  <si>
    <t>Engine and Power</t>
  </si>
  <si>
    <t>Air Filter</t>
  </si>
  <si>
    <t>Intake Manifold and Throttle Body</t>
  </si>
  <si>
    <t>Fuel System</t>
  </si>
  <si>
    <t>Ignition</t>
  </si>
  <si>
    <t>Exhaust</t>
  </si>
  <si>
    <t>Camshaft</t>
  </si>
  <si>
    <t>Valves</t>
  </si>
  <si>
    <t>Displacement</t>
  </si>
  <si>
    <t>Oil and Cooling</t>
  </si>
  <si>
    <t>Flywheel</t>
  </si>
  <si>
    <t>Restrictors</t>
  </si>
  <si>
    <t>Stock</t>
  </si>
  <si>
    <t>Platform and Handling</t>
  </si>
  <si>
    <t>Brakes</t>
  </si>
  <si>
    <t>Springs and Dampers</t>
  </si>
  <si>
    <t>Front Anti-roll Bars</t>
  </si>
  <si>
    <t>Rear Anti-roll Bars</t>
  </si>
  <si>
    <t>Chassis Reinforcement and Roll Cage</t>
  </si>
  <si>
    <t>Weight Reduction</t>
  </si>
  <si>
    <t>Drivetrain</t>
  </si>
  <si>
    <t>Clutch</t>
  </si>
  <si>
    <t>Driveline</t>
  </si>
  <si>
    <t>Differential</t>
  </si>
  <si>
    <t>Tires and Rims</t>
  </si>
  <si>
    <t>Tire Compound</t>
  </si>
  <si>
    <t>Rim Style</t>
  </si>
  <si>
    <t>Aero and Appearance</t>
  </si>
  <si>
    <t>Front Bumper</t>
  </si>
  <si>
    <t>Rear Bumper</t>
  </si>
  <si>
    <t>Side Skirts</t>
  </si>
  <si>
    <t>Hood</t>
  </si>
  <si>
    <t>Rear Wing</t>
  </si>
  <si>
    <t>Conversion</t>
  </si>
  <si>
    <t>Engine Swap</t>
  </si>
  <si>
    <t>Drivetrain Swap</t>
  </si>
  <si>
    <t>Aspiration Conversion</t>
  </si>
  <si>
    <t>Intercooler</t>
  </si>
  <si>
    <t>Class Builder</t>
  </si>
  <si>
    <t>xxtream666</t>
  </si>
  <si>
    <t>Power to Weight Ratio</t>
  </si>
  <si>
    <t>Front Tire Width</t>
  </si>
  <si>
    <t>Rear Tire Width</t>
  </si>
  <si>
    <t>Front Rim Size</t>
  </si>
  <si>
    <t>Rear Rim Size</t>
  </si>
  <si>
    <t>Pistons and Compression</t>
  </si>
  <si>
    <t>UPGRADE SHOP</t>
  </si>
  <si>
    <t>Shift Point Option</t>
  </si>
  <si>
    <t>Class Option</t>
  </si>
  <si>
    <t>L</t>
  </si>
  <si>
    <t>CFM</t>
  </si>
  <si>
    <t>displ</t>
  </si>
  <si>
    <t>Theoretical Top Speed</t>
  </si>
  <si>
    <t>AERODYNAMICS</t>
  </si>
  <si>
    <t>Aerodynamics</t>
  </si>
  <si>
    <t>M6 Coupe</t>
  </si>
  <si>
    <t>One-77</t>
  </si>
  <si>
    <t>S5S Raptor</t>
  </si>
  <si>
    <t>Furai</t>
  </si>
  <si>
    <t>Rapide</t>
  </si>
  <si>
    <t>V12 Vantage</t>
  </si>
  <si>
    <t>Mugen Civic Type-R 3D</t>
  </si>
  <si>
    <t>EB110 SS</t>
  </si>
  <si>
    <t>Maximum Downforce</t>
  </si>
  <si>
    <t>Modified Downforce</t>
  </si>
  <si>
    <t>Available Downforce</t>
  </si>
  <si>
    <t>User Front Bias</t>
  </si>
  <si>
    <t>Tire Width Distribution</t>
  </si>
  <si>
    <t>L/D Ratio</t>
  </si>
  <si>
    <t>barumba</t>
  </si>
  <si>
    <t>Lateral Acceleration</t>
  </si>
  <si>
    <t>g's</t>
  </si>
  <si>
    <t>Slip Angle</t>
  </si>
  <si>
    <t>Calculated Speed</t>
  </si>
  <si>
    <t>FWD</t>
  </si>
  <si>
    <t>RWD</t>
  </si>
  <si>
    <t>AWD</t>
  </si>
  <si>
    <t>Target Pressure</t>
  </si>
  <si>
    <t>Target Temperature</t>
  </si>
  <si>
    <t>Base Temperature</t>
  </si>
  <si>
    <t>Volume (L)</t>
  </si>
  <si>
    <t>Constant</t>
  </si>
  <si>
    <t>Engine Position</t>
  </si>
  <si>
    <t>Critical Speed</t>
  </si>
  <si>
    <t>Launch Override</t>
  </si>
  <si>
    <t>Motion Ratio</t>
  </si>
  <si>
    <t>Damping Rate</t>
  </si>
  <si>
    <t>insomniac84</t>
  </si>
  <si>
    <t>Roll Angular Inertia</t>
  </si>
  <si>
    <t>Damping Ratio</t>
  </si>
  <si>
    <t>High</t>
  </si>
  <si>
    <t>Ride Frequency (Hz)</t>
  </si>
  <si>
    <t>Frequency Distribution</t>
  </si>
  <si>
    <t xml:space="preserve"> </t>
  </si>
  <si>
    <t>Dimensions</t>
  </si>
  <si>
    <t>Width</t>
  </si>
  <si>
    <t>TSX V6</t>
  </si>
  <si>
    <t>AMC</t>
  </si>
  <si>
    <t>Continental Supersports</t>
  </si>
  <si>
    <t>Bertone</t>
  </si>
  <si>
    <t>Mantide</t>
  </si>
  <si>
    <t>2002 Turbo</t>
  </si>
  <si>
    <t>X6 M</t>
  </si>
  <si>
    <t>DS3</t>
  </si>
  <si>
    <t>De Tomaso</t>
  </si>
  <si>
    <t>Pantera</t>
  </si>
  <si>
    <t>DeLorean</t>
  </si>
  <si>
    <t>DMC-12</t>
  </si>
  <si>
    <t>Devon</t>
  </si>
  <si>
    <t>GTX</t>
  </si>
  <si>
    <t>250 California</t>
  </si>
  <si>
    <t>Fusion Sport</t>
  </si>
  <si>
    <t>Taurus SHO</t>
  </si>
  <si>
    <t>Gumpert</t>
  </si>
  <si>
    <t>Apollo S</t>
  </si>
  <si>
    <t>HSV w427</t>
  </si>
  <si>
    <t>Forza Motorsport Genesis Coupe</t>
  </si>
  <si>
    <t>CCX</t>
  </si>
  <si>
    <t>Joss</t>
  </si>
  <si>
    <t>JT1</t>
  </si>
  <si>
    <t>Forte Koup SX</t>
  </si>
  <si>
    <t>LF-A</t>
  </si>
  <si>
    <t>MX-5 Superlight</t>
  </si>
  <si>
    <t>MP4-12C</t>
  </si>
  <si>
    <t>SLK 55 AMG</t>
  </si>
  <si>
    <t>190E 2.5-16 Evolution II</t>
  </si>
  <si>
    <t>SLS AMG</t>
  </si>
  <si>
    <t>Colt Ralliart</t>
  </si>
  <si>
    <t>MT900S</t>
  </si>
  <si>
    <t>RCZ</t>
  </si>
  <si>
    <t>Radical</t>
  </si>
  <si>
    <t>Megane RS 250</t>
  </si>
  <si>
    <t>Rossion</t>
  </si>
  <si>
    <t>Q1</t>
  </si>
  <si>
    <t>99 Turbo</t>
  </si>
  <si>
    <t>C8 Laviolette LM85</t>
  </si>
  <si>
    <t>Ultimate Aero</t>
  </si>
  <si>
    <t>Legacy B4 2.5GT</t>
  </si>
  <si>
    <t>Insignia VXR</t>
  </si>
  <si>
    <t>242 Turbo Evolution</t>
  </si>
  <si>
    <t>width</t>
  </si>
  <si>
    <t>#2 Audi Sport North America R8</t>
  </si>
  <si>
    <t>Kia</t>
  </si>
  <si>
    <t>Twin Turbocharger</t>
  </si>
  <si>
    <t>Rotors and Compression</t>
  </si>
  <si>
    <t>Twin-Screw Supercharger</t>
  </si>
  <si>
    <t>Centrifugal Supercharger</t>
  </si>
  <si>
    <t>Single Turbocharger</t>
  </si>
  <si>
    <t>Street</t>
  </si>
  <si>
    <t>Sport</t>
  </si>
  <si>
    <t>Race</t>
  </si>
  <si>
    <t>Power Gain</t>
  </si>
  <si>
    <t>Torque Gain</t>
  </si>
  <si>
    <t>Weight Gain</t>
  </si>
  <si>
    <t>Power to Weight</t>
  </si>
  <si>
    <t>Torque to Weight</t>
  </si>
  <si>
    <t>Power Handicap</t>
  </si>
  <si>
    <t>Grip Handicap</t>
  </si>
  <si>
    <t xml:space="preserve">0.7853982 x bore ^ 2 x stroke x Number of cylinders </t>
  </si>
  <si>
    <t>pi/4 x bore ^ 2 x stroke</t>
  </si>
  <si>
    <t>037 Stradale</t>
  </si>
  <si>
    <t xml:space="preserve">  </t>
  </si>
  <si>
    <t>Aerodynamic Parameter</t>
  </si>
  <si>
    <t>Tire Deflect</t>
  </si>
  <si>
    <t>Limited Speed</t>
  </si>
  <si>
    <t>Estimates</t>
  </si>
  <si>
    <t>Frontal area</t>
  </si>
  <si>
    <t>Specific Output</t>
  </si>
  <si>
    <t>Specific Torque</t>
  </si>
  <si>
    <t>Load</t>
  </si>
  <si>
    <t>Roll Rate Distribution</t>
  </si>
  <si>
    <t>Height</t>
  </si>
  <si>
    <r>
      <t>m</t>
    </r>
    <r>
      <rPr>
        <b/>
        <vertAlign val="superscript"/>
        <sz val="8"/>
        <color indexed="10"/>
        <rFont val="Calibri"/>
        <family val="2"/>
      </rPr>
      <t>2</t>
    </r>
  </si>
  <si>
    <t>Front Bump</t>
  </si>
  <si>
    <t>Front Rebound</t>
  </si>
  <si>
    <t>Rear Bump</t>
  </si>
  <si>
    <t>Rear Rebound</t>
  </si>
  <si>
    <t>DAMPING - work in progress</t>
  </si>
  <si>
    <t>Lift Coefficient (Cl)</t>
  </si>
  <si>
    <t>[ Please Donate Here ]</t>
  </si>
  <si>
    <t>English</t>
  </si>
  <si>
    <t>CG Height</t>
  </si>
  <si>
    <t>Mean Effective Pressure</t>
  </si>
  <si>
    <r>
      <rPr>
        <b/>
        <sz val="10"/>
        <color indexed="10"/>
        <rFont val="Calibri"/>
        <family val="2"/>
      </rPr>
      <t>Forza</t>
    </r>
    <r>
      <rPr>
        <b/>
        <sz val="10"/>
        <color indexed="63"/>
        <rFont val="Calibri"/>
        <family val="2"/>
      </rPr>
      <t xml:space="preserve"> Motorsport</t>
    </r>
    <r>
      <rPr>
        <b/>
        <sz val="10"/>
        <color indexed="63"/>
        <rFont val="Calibri"/>
        <family val="2"/>
      </rPr>
      <t xml:space="preserve"> - Tire Dynamics</t>
    </r>
  </si>
  <si>
    <r>
      <rPr>
        <b/>
        <sz val="10"/>
        <color indexed="10"/>
        <rFont val="Calibri"/>
        <family val="2"/>
      </rPr>
      <t>Forza</t>
    </r>
    <r>
      <rPr>
        <b/>
        <sz val="10"/>
        <color indexed="63"/>
        <rFont val="Calibri"/>
        <family val="2"/>
      </rPr>
      <t xml:space="preserve"> Motorsport</t>
    </r>
    <r>
      <rPr>
        <b/>
        <sz val="10"/>
        <color indexed="63"/>
        <rFont val="Calibri"/>
        <family val="2"/>
      </rPr>
      <t xml:space="preserve"> - Class Builder</t>
    </r>
  </si>
  <si>
    <r>
      <rPr>
        <b/>
        <sz val="10"/>
        <color indexed="10"/>
        <rFont val="Calibri"/>
        <family val="2"/>
      </rPr>
      <t xml:space="preserve">Forza </t>
    </r>
    <r>
      <rPr>
        <b/>
        <sz val="10"/>
        <rFont val="Calibri"/>
        <family val="2"/>
      </rPr>
      <t>Motorsport</t>
    </r>
    <r>
      <rPr>
        <b/>
        <sz val="10"/>
        <color indexed="10"/>
        <rFont val="Calibri"/>
        <family val="2"/>
      </rPr>
      <t xml:space="preserve"> </t>
    </r>
    <r>
      <rPr>
        <b/>
        <sz val="10"/>
        <rFont val="Calibri"/>
        <family val="2"/>
      </rPr>
      <t>-</t>
    </r>
    <r>
      <rPr>
        <b/>
        <sz val="10"/>
        <color indexed="10"/>
        <rFont val="Calibri"/>
        <family val="2"/>
      </rPr>
      <t xml:space="preserve"> </t>
    </r>
    <r>
      <rPr>
        <b/>
        <sz val="10"/>
        <color indexed="63"/>
        <rFont val="Calibri"/>
        <family val="2"/>
      </rPr>
      <t>Summary</t>
    </r>
  </si>
  <si>
    <t>Sun Star</t>
  </si>
  <si>
    <t>Minimum Downforce</t>
  </si>
  <si>
    <t>BRAKING</t>
  </si>
  <si>
    <t>TIRES</t>
  </si>
  <si>
    <t>GEARING</t>
  </si>
  <si>
    <t>ALIGNMENT</t>
  </si>
  <si>
    <t>ANTI-ROLL BARS</t>
  </si>
  <si>
    <t>SPRINGS</t>
  </si>
  <si>
    <t>DAMPING</t>
  </si>
  <si>
    <t>DIFFERENTIAL</t>
  </si>
  <si>
    <r>
      <rPr>
        <b/>
        <sz val="10"/>
        <color indexed="10"/>
        <rFont val="Calibri"/>
        <family val="2"/>
      </rPr>
      <t xml:space="preserve">Forza </t>
    </r>
    <r>
      <rPr>
        <b/>
        <sz val="10"/>
        <rFont val="Calibri"/>
        <family val="2"/>
      </rPr>
      <t>Motorsport</t>
    </r>
    <r>
      <rPr>
        <b/>
        <sz val="10"/>
        <color indexed="10"/>
        <rFont val="Calibri"/>
        <family val="2"/>
      </rPr>
      <t xml:space="preserve"> </t>
    </r>
    <r>
      <rPr>
        <b/>
        <sz val="10"/>
        <rFont val="Calibri"/>
        <family val="2"/>
      </rPr>
      <t>-</t>
    </r>
    <r>
      <rPr>
        <b/>
        <sz val="10"/>
        <color indexed="10"/>
        <rFont val="Calibri"/>
        <family val="2"/>
      </rPr>
      <t xml:space="preserve"> </t>
    </r>
    <r>
      <rPr>
        <b/>
        <sz val="10"/>
        <color indexed="63"/>
        <rFont val="Calibri"/>
        <family val="2"/>
      </rPr>
      <t>Priority Upgrade Table - Beta</t>
    </r>
  </si>
  <si>
    <t>Stock Input</t>
  </si>
  <si>
    <r>
      <rPr>
        <b/>
        <sz val="10"/>
        <color indexed="10"/>
        <rFont val="Calibri"/>
        <family val="2"/>
      </rPr>
      <t xml:space="preserve">Forza </t>
    </r>
    <r>
      <rPr>
        <b/>
        <sz val="10"/>
        <rFont val="Calibri"/>
        <family val="2"/>
      </rPr>
      <t>Motorsport</t>
    </r>
    <r>
      <rPr>
        <b/>
        <sz val="10"/>
        <color indexed="10"/>
        <rFont val="Calibri"/>
        <family val="2"/>
      </rPr>
      <t xml:space="preserve"> </t>
    </r>
    <r>
      <rPr>
        <b/>
        <sz val="10"/>
        <rFont val="Calibri"/>
        <family val="2"/>
      </rPr>
      <t>-</t>
    </r>
    <r>
      <rPr>
        <b/>
        <sz val="10"/>
        <color indexed="10"/>
        <rFont val="Calibri"/>
        <family val="2"/>
      </rPr>
      <t xml:space="preserve"> </t>
    </r>
    <r>
      <rPr>
        <b/>
        <sz val="10"/>
        <color indexed="63"/>
        <rFont val="Calibri"/>
        <family val="2"/>
      </rPr>
      <t>Rim Styles</t>
    </r>
  </si>
  <si>
    <r>
      <rPr>
        <b/>
        <sz val="10"/>
        <color indexed="10"/>
        <rFont val="Calibri"/>
        <family val="2"/>
      </rPr>
      <t>Forza</t>
    </r>
    <r>
      <rPr>
        <b/>
        <sz val="10"/>
        <color indexed="8"/>
        <rFont val="Calibri"/>
        <family val="2"/>
      </rPr>
      <t xml:space="preserve"> Motorsport - </t>
    </r>
    <r>
      <rPr>
        <b/>
        <sz val="10"/>
        <color indexed="63"/>
        <rFont val="Calibri"/>
        <family val="2"/>
      </rPr>
      <t>Aerodynamics</t>
    </r>
  </si>
  <si>
    <t>Abarth</t>
  </si>
  <si>
    <t>#66 de Ferran Motorsports ARX-01b</t>
  </si>
  <si>
    <t>#66 de Ferran Motorsports ARX-02a</t>
  </si>
  <si>
    <t>#66 de Ferran Motorsports Jim Hall ARX-02a</t>
  </si>
  <si>
    <t>Akslon</t>
  </si>
  <si>
    <t>M12 FAV Warthog</t>
  </si>
  <si>
    <t>MiTo</t>
  </si>
  <si>
    <t>Giulietta Quadrifoglio Verde</t>
  </si>
  <si>
    <t>DBR1</t>
  </si>
  <si>
    <t>V8 Vantage</t>
  </si>
  <si>
    <t>#6 Muscle Milk Lola</t>
  </si>
  <si>
    <t>RS2 Avant</t>
  </si>
  <si>
    <t>#02 Audi A4 Touring Car</t>
  </si>
  <si>
    <t>R8 4.2 FSI</t>
  </si>
  <si>
    <t>R8 LMS</t>
  </si>
  <si>
    <t>R8 5.2 FSI</t>
  </si>
  <si>
    <t>TT-RS Coupe</t>
  </si>
  <si>
    <t>#03 Audi A4 Touring Car</t>
  </si>
  <si>
    <t>#04 Audi A4 Touring Car</t>
  </si>
  <si>
    <t>#05 Audi A4 Touring Car</t>
  </si>
  <si>
    <t>#06 Audi A4 Touring Car</t>
  </si>
  <si>
    <t>#4 Forza Motorsport R10 TDI</t>
  </si>
  <si>
    <t>8 Litre</t>
  </si>
  <si>
    <t>Platinum Motorsports Continental GT</t>
  </si>
  <si>
    <t>BMW</t>
  </si>
  <si>
    <t>M1 BMW Design Art Car</t>
  </si>
  <si>
    <t>M635CSI</t>
  </si>
  <si>
    <t>M5 E28</t>
  </si>
  <si>
    <t>#15 V12 LMR</t>
  </si>
  <si>
    <t>Z8</t>
  </si>
  <si>
    <t>#6 Prototype Technology Group M3 GTR</t>
  </si>
  <si>
    <t>Z3 M Coupe</t>
  </si>
  <si>
    <t>M5 E39</t>
  </si>
  <si>
    <t>#2 Team BMW Motorsport M3-GTR</t>
  </si>
  <si>
    <t>M3 E46</t>
  </si>
  <si>
    <t>M3 E92 BMW Design Art Car</t>
  </si>
  <si>
    <t>Z4 M Coupe BMW Design Art Car</t>
  </si>
  <si>
    <t>#79 Jeff Koons BMW M3 GT2 Art Car</t>
  </si>
  <si>
    <t>M5 F10 BMW Design Art Car</t>
  </si>
  <si>
    <t>M6 Coupe Design Art Car</t>
  </si>
  <si>
    <t>X5 M</t>
  </si>
  <si>
    <t>Z4 GT3</t>
  </si>
  <si>
    <t>1-Series M Coupe</t>
  </si>
  <si>
    <t>Z4 sDrive 3.5is</t>
  </si>
  <si>
    <t>M5 F10</t>
  </si>
  <si>
    <t>Veyron Super Sport</t>
  </si>
  <si>
    <t>GSX</t>
  </si>
  <si>
    <t>CTS-V Coupe</t>
  </si>
  <si>
    <t>Corvette C1</t>
  </si>
  <si>
    <t>Impala SS 409</t>
  </si>
  <si>
    <t>Nova SS</t>
  </si>
  <si>
    <t>Chevelle SS 454</t>
  </si>
  <si>
    <t>El Camino SS 454</t>
  </si>
  <si>
    <t>#55 Level 5 Motorsport Oreca FLM09</t>
  </si>
  <si>
    <t>#89 Intersport Racing Oreca FLM09</t>
  </si>
  <si>
    <t>#99 Green Earth Team Gunnar Oreca FLM09</t>
  </si>
  <si>
    <t>Cobalt SS Turbocharged</t>
  </si>
  <si>
    <t>#04 Monte Carlo SS Stock Car</t>
  </si>
  <si>
    <t>Spark</t>
  </si>
  <si>
    <t>Volt</t>
  </si>
  <si>
    <t>Citroën</t>
  </si>
  <si>
    <t>C1</t>
  </si>
  <si>
    <t>Coronet W023</t>
  </si>
  <si>
    <t>Dart HEMI Super Stock</t>
  </si>
  <si>
    <t>Coronet Super Bee</t>
  </si>
  <si>
    <t>#91 Team Oreca Viper GTS-R</t>
  </si>
  <si>
    <t>Viper SRT-10</t>
  </si>
  <si>
    <t>SRT4 ACR</t>
  </si>
  <si>
    <t>#11 Primetime Racing Viper Competition Coupe</t>
  </si>
  <si>
    <t>Viper SRT-10 ACR</t>
  </si>
  <si>
    <t>Challenger SRT8</t>
  </si>
  <si>
    <t>Eagle</t>
  </si>
  <si>
    <t>Talon TSi Turbo</t>
  </si>
  <si>
    <t>365 GTB/4 Daytona</t>
  </si>
  <si>
    <t>#62 Risi Competizione F430 GT2</t>
  </si>
  <si>
    <t>#90 Farnbacher Racing F430 GT2</t>
  </si>
  <si>
    <t>#83 Risi Competizione/Krohn F430 GT2</t>
  </si>
  <si>
    <t>#89 Hankook-Team Farnbacher F430 GT2</t>
  </si>
  <si>
    <t>458 Challenge</t>
  </si>
  <si>
    <t>599 GTO</t>
  </si>
  <si>
    <t>FF</t>
  </si>
  <si>
    <t>Punto EVO Sport</t>
  </si>
  <si>
    <t>Thunderbird</t>
  </si>
  <si>
    <t>Fairlane Thunderbolt</t>
  </si>
  <si>
    <t>Mustang GT Coupe</t>
  </si>
  <si>
    <t>GT40 MK II</t>
  </si>
  <si>
    <t>Mustang Mach 1</t>
  </si>
  <si>
    <t>Falcon GT XB</t>
  </si>
  <si>
    <t>Gran Torino</t>
  </si>
  <si>
    <t>Mustang King Cobra</t>
  </si>
  <si>
    <t>Sierra RS500 Cosworth</t>
  </si>
  <si>
    <t>Escort RS Cosworth</t>
  </si>
  <si>
    <t>SVT Focus</t>
  </si>
  <si>
    <t>#40 Robertson Racing Ford GT Mk.7</t>
  </si>
  <si>
    <t>#05 Ford Racing Fusion Stock Car</t>
  </si>
  <si>
    <t>#17 Dick Johnson Racing Team FG Falcon</t>
  </si>
  <si>
    <t>#19 Mother Energy Racing Team FG Falcon</t>
  </si>
  <si>
    <t>#4 IRWIN Racing FG Falcon</t>
  </si>
  <si>
    <t>#9 SP Tools Racing FG Falcon</t>
  </si>
  <si>
    <t>Ka</t>
  </si>
  <si>
    <t>GMC</t>
  </si>
  <si>
    <t>Syclone</t>
  </si>
  <si>
    <t>#1 Toll Holden Racing Commodore VE</t>
  </si>
  <si>
    <t>#11 Pepsi Max Crew Commodore VE</t>
  </si>
  <si>
    <t>#33 Fujitsu Racing GRM Commodore VE</t>
  </si>
  <si>
    <t>#8 Team BOC Commodore VE</t>
  </si>
  <si>
    <t>#88 Team Vodafone Commodore VE</t>
  </si>
  <si>
    <t>#18 Takata Dome NSX</t>
  </si>
  <si>
    <t>CR-Z EX</t>
  </si>
  <si>
    <t>Hummer</t>
  </si>
  <si>
    <t>H1 Alpha</t>
  </si>
  <si>
    <t>Rhys Millen Racing Red Bull Genesis Coupe</t>
  </si>
  <si>
    <t>ix20</t>
  </si>
  <si>
    <t>G35</t>
  </si>
  <si>
    <t>D-Type</t>
  </si>
  <si>
    <t>#33 RSR XKR GT</t>
  </si>
  <si>
    <t>Jeep</t>
  </si>
  <si>
    <t>Grand Cherokee SRT8</t>
  </si>
  <si>
    <t>Cee'd</t>
  </si>
  <si>
    <t>Agera</t>
  </si>
  <si>
    <t>Diablo GT-R</t>
  </si>
  <si>
    <t>Murcielago LP670-4 SV</t>
  </si>
  <si>
    <t>Aventador LP700-4</t>
  </si>
  <si>
    <t>Gallardo LP570-4 Superleggera</t>
  </si>
  <si>
    <t>Sesto Elemento</t>
  </si>
  <si>
    <t>Delta HF Integrale EVO</t>
  </si>
  <si>
    <t>SC300</t>
  </si>
  <si>
    <t>#1 Petronas Tom's SC430</t>
  </si>
  <si>
    <t>#25 Eclipse Advan SC430</t>
  </si>
  <si>
    <t>#6 Eneos SC430</t>
  </si>
  <si>
    <t>IS-F</t>
  </si>
  <si>
    <t>CT200h</t>
  </si>
  <si>
    <t>Esprit Turbo</t>
  </si>
  <si>
    <t>Elise Sport</t>
  </si>
  <si>
    <t>2-Eleven</t>
  </si>
  <si>
    <t>Evora Type 124 Endurance Racecar</t>
  </si>
  <si>
    <t>GranTurismo S</t>
  </si>
  <si>
    <t>MX-5 Miata</t>
  </si>
  <si>
    <t>F1</t>
  </si>
  <si>
    <t>#43 Team BMW Motorsport F1 GTR</t>
  </si>
  <si>
    <t>#18 Gulf Team Davidoff F1 GTR</t>
  </si>
  <si>
    <t>C63 AMG</t>
  </si>
  <si>
    <t>Mercury</t>
  </si>
  <si>
    <t>Cougar Eliminator</t>
  </si>
  <si>
    <t>Mini</t>
  </si>
  <si>
    <t>Cooper John Cooper Works</t>
  </si>
  <si>
    <t>Starion ESI-R</t>
  </si>
  <si>
    <t>Morgan</t>
  </si>
  <si>
    <t>Aero Supersports</t>
  </si>
  <si>
    <t>Mosler</t>
  </si>
  <si>
    <t>240SX SE</t>
  </si>
  <si>
    <t>#32 Nissan R390 GT1</t>
  </si>
  <si>
    <t>#12 Calsonic Skyline</t>
  </si>
  <si>
    <t>#3 Hasemisport Endless Z</t>
  </si>
  <si>
    <t>#12 Calsonic Impul GT-R</t>
  </si>
  <si>
    <t>#23 Xanavi Nismo GT-R</t>
  </si>
  <si>
    <t>#24 Woodone Advan Clarion GT-R</t>
  </si>
  <si>
    <t>#3 YellowHat YMS Tomica GT-R</t>
  </si>
  <si>
    <t>Leaf</t>
  </si>
  <si>
    <t>Micra</t>
  </si>
  <si>
    <t>Noble</t>
  </si>
  <si>
    <t>M600</t>
  </si>
  <si>
    <t>Oldsmobile</t>
  </si>
  <si>
    <t>Hurst/Olds 442</t>
  </si>
  <si>
    <t>#5 OPC Team Phoenix Astra V8 Coupe</t>
  </si>
  <si>
    <t>Zonda Cinque Roadster</t>
  </si>
  <si>
    <t>Zonda R</t>
  </si>
  <si>
    <t>#51 Esperante GTLM</t>
  </si>
  <si>
    <t>#9 Peugeot Sport Total 908 HDi FAP</t>
  </si>
  <si>
    <t>#10 Matmut-Oreca 908 HDi FAP</t>
  </si>
  <si>
    <t>308 GTi</t>
  </si>
  <si>
    <t>Plymouth</t>
  </si>
  <si>
    <t>Barracuda Formula-S</t>
  </si>
  <si>
    <t>Cuda 426 Hemi</t>
  </si>
  <si>
    <t>GTX 426 Hemi</t>
  </si>
  <si>
    <t>Firebird</t>
  </si>
  <si>
    <t>Firebird Trans Am</t>
  </si>
  <si>
    <t>GTO Judge</t>
  </si>
  <si>
    <t>Solstice GXP</t>
  </si>
  <si>
    <t>SR8 RX</t>
  </si>
  <si>
    <t>Clio V6</t>
  </si>
  <si>
    <t>Clio RS 197</t>
  </si>
  <si>
    <t>Twingo Sport Cup</t>
  </si>
  <si>
    <t>RUF</t>
  </si>
  <si>
    <t>RGT-8</t>
  </si>
  <si>
    <t>#2 Konrad Motorsport S7R</t>
  </si>
  <si>
    <t>GT-500KR</t>
  </si>
  <si>
    <t>GT500 428CJ</t>
  </si>
  <si>
    <t>Spada Vetture</t>
  </si>
  <si>
    <t>Codatronca TS</t>
  </si>
  <si>
    <t>Spyker</t>
  </si>
  <si>
    <t>SSC</t>
  </si>
  <si>
    <t>Impreza 22b STi</t>
  </si>
  <si>
    <t>#77 Cusco Advan Impreza</t>
  </si>
  <si>
    <t>Legacy B4 2.0GT</t>
  </si>
  <si>
    <t>Suzuki</t>
  </si>
  <si>
    <t>Liana GLX</t>
  </si>
  <si>
    <t>SX4 Sportback</t>
  </si>
  <si>
    <t>Tesla</t>
  </si>
  <si>
    <t>Roadster Sport</t>
  </si>
  <si>
    <t>MR2 Supercharged</t>
  </si>
  <si>
    <t>Supra Mk.4 RZ</t>
  </si>
  <si>
    <t>#3 Toyota Motorsports GT-ONE TS-020</t>
  </si>
  <si>
    <t>#6 Exxon Superflo Supra</t>
  </si>
  <si>
    <t>Aygo</t>
  </si>
  <si>
    <t>Prius</t>
  </si>
  <si>
    <t>Agila</t>
  </si>
  <si>
    <t>Fox</t>
  </si>
  <si>
    <t>S60R</t>
  </si>
  <si>
    <t>S60 R-Design</t>
  </si>
  <si>
    <t>Wiesmann</t>
  </si>
  <si>
    <t>GT MF5</t>
  </si>
  <si>
    <t>height</t>
  </si>
  <si>
    <t>Priority Upgrade Table</t>
  </si>
  <si>
    <t>Power Input</t>
  </si>
  <si>
    <t>Torque Input</t>
  </si>
  <si>
    <t>Weight Input</t>
  </si>
  <si>
    <t>* Figures are based on a 1993 Ford SVT Mustang Cobra R</t>
  </si>
  <si>
    <t>Bonneville Series 391</t>
  </si>
  <si>
    <t>Magnum III</t>
  </si>
  <si>
    <t>GT</t>
  </si>
  <si>
    <t>Select Car</t>
  </si>
  <si>
    <t>Remove</t>
  </si>
  <si>
    <t>36</t>
  </si>
  <si>
    <t>rating</t>
  </si>
  <si>
    <t>Overall Rating</t>
  </si>
  <si>
    <t>Power Rating</t>
  </si>
  <si>
    <t>Torque Rating</t>
  </si>
  <si>
    <t>Vehicle Databse</t>
  </si>
  <si>
    <t>Insomniac84</t>
  </si>
  <si>
    <t>thechosenfamily</t>
  </si>
  <si>
    <t>Geministorm2</t>
  </si>
  <si>
    <t>the metronome</t>
  </si>
  <si>
    <t>JudderBudders</t>
  </si>
  <si>
    <t>Fantim97</t>
  </si>
  <si>
    <t>Phate83</t>
  </si>
  <si>
    <t>travanx</t>
  </si>
  <si>
    <t>rim</t>
  </si>
  <si>
    <t>diam</t>
  </si>
  <si>
    <t>Rear Tire Widths</t>
  </si>
  <si>
    <t>Front Tire Widths</t>
  </si>
  <si>
    <t>Roll Gradient</t>
  </si>
  <si>
    <t>deg/g</t>
  </si>
  <si>
    <t>Trans Type</t>
  </si>
  <si>
    <t>Chazz Bos</t>
  </si>
  <si>
    <t>Motor and Battery</t>
  </si>
  <si>
    <t>Motor and Battery Parts</t>
  </si>
  <si>
    <t>wheelbase</t>
  </si>
  <si>
    <t>track width</t>
  </si>
  <si>
    <t>tire width</t>
  </si>
  <si>
    <t>brake diameter</t>
  </si>
  <si>
    <t>front2</t>
  </si>
  <si>
    <t>rear2</t>
  </si>
  <si>
    <t>front3</t>
  </si>
  <si>
    <t>rear3</t>
  </si>
  <si>
    <t>modified track width</t>
  </si>
  <si>
    <t>front4</t>
  </si>
  <si>
    <t>rear4</t>
  </si>
  <si>
    <t>Corvette Stingray 427</t>
  </si>
  <si>
    <t>Corvette ZR-1</t>
  </si>
  <si>
    <t xml:space="preserve">131 Abarth </t>
  </si>
  <si>
    <t>500 esseesse</t>
  </si>
  <si>
    <t>Javelin-AMX</t>
  </si>
  <si>
    <t>Challenge Stradale</t>
  </si>
  <si>
    <t>Mugen Integra Type-R</t>
  </si>
  <si>
    <t>NSX-R GT</t>
  </si>
  <si>
    <t>Fairlady Z</t>
  </si>
  <si>
    <t>Skyline GT-R V-Spec</t>
  </si>
  <si>
    <t>MINE'S R32 Skyline GT-R</t>
  </si>
  <si>
    <t>MINE'S R34 Skyline GT-R</t>
  </si>
  <si>
    <t>Skyline GT-R V-Spec II</t>
  </si>
  <si>
    <t>Silvia CLUB K's</t>
  </si>
  <si>
    <t>Silvia K's</t>
  </si>
  <si>
    <t>Silvia Spec-R</t>
  </si>
  <si>
    <t>Rt 12 R</t>
  </si>
  <si>
    <t>Rt 12 S</t>
  </si>
  <si>
    <t>Beetle</t>
  </si>
  <si>
    <t>Rabbit GTI</t>
  </si>
  <si>
    <t>Golf GTi 16v Mk2</t>
  </si>
  <si>
    <t>GTI VR6 Mk3</t>
  </si>
  <si>
    <t>Golf GTI</t>
  </si>
  <si>
    <t>Golf GTI Mk6</t>
  </si>
  <si>
    <t>Golf R</t>
  </si>
  <si>
    <t>Golf R32</t>
  </si>
  <si>
    <t>AMG Mercedes CLK GTR</t>
  </si>
  <si>
    <t>A200 Turbo Coupe</t>
  </si>
  <si>
    <t>Mercedes-AMG C-Class Touring Car</t>
  </si>
  <si>
    <t>CL 65 AMG</t>
  </si>
  <si>
    <t>CLK55 AMG Coupe</t>
  </si>
  <si>
    <t>E 63 AMG</t>
  </si>
  <si>
    <t>ML 63 AMG</t>
  </si>
  <si>
    <t>SL 65 AMG Black Series</t>
  </si>
  <si>
    <t>Savanna RX-7</t>
  </si>
  <si>
    <t>Wheelbase</t>
  </si>
  <si>
    <t>United States</t>
  </si>
  <si>
    <t>United Kingdom</t>
  </si>
  <si>
    <t>SVT Cobra R</t>
  </si>
  <si>
    <t>Tacun</t>
  </si>
  <si>
    <t>NitroMayhem</t>
  </si>
  <si>
    <t>DanK1ne</t>
  </si>
  <si>
    <r>
      <rPr>
        <b/>
        <sz val="10"/>
        <color indexed="10"/>
        <rFont val="Calibri"/>
        <family val="2"/>
      </rPr>
      <t xml:space="preserve">Forza </t>
    </r>
    <r>
      <rPr>
        <b/>
        <sz val="10"/>
        <rFont val="Calibri"/>
        <family val="2"/>
      </rPr>
      <t>Motorsport</t>
    </r>
    <r>
      <rPr>
        <b/>
        <sz val="10"/>
        <color indexed="10"/>
        <rFont val="Calibri"/>
        <family val="2"/>
      </rPr>
      <t xml:space="preserve"> </t>
    </r>
    <r>
      <rPr>
        <b/>
        <sz val="10"/>
        <rFont val="Calibri"/>
        <family val="2"/>
      </rPr>
      <t>-</t>
    </r>
    <r>
      <rPr>
        <b/>
        <sz val="10"/>
        <color indexed="10"/>
        <rFont val="Calibri"/>
        <family val="2"/>
      </rPr>
      <t xml:space="preserve"> </t>
    </r>
    <r>
      <rPr>
        <b/>
        <sz val="10"/>
        <color indexed="63"/>
        <rFont val="Calibri"/>
        <family val="2"/>
      </rPr>
      <t>Vehicle Database</t>
    </r>
  </si>
  <si>
    <t>M3-GTR</t>
  </si>
  <si>
    <t>E</t>
  </si>
  <si>
    <t>Italy</t>
  </si>
  <si>
    <t>D</t>
  </si>
  <si>
    <t>R1</t>
  </si>
  <si>
    <t>C</t>
  </si>
  <si>
    <t>B</t>
  </si>
  <si>
    <t>Autovista</t>
  </si>
  <si>
    <t>Pre-order Exclusive</t>
  </si>
  <si>
    <t>R2</t>
  </si>
  <si>
    <t>S</t>
  </si>
  <si>
    <t>Germany</t>
  </si>
  <si>
    <t>R3</t>
  </si>
  <si>
    <t>BMW Art Car Pack</t>
  </si>
  <si>
    <t>Unicorn</t>
  </si>
  <si>
    <t>France</t>
  </si>
  <si>
    <t>Muscle car pack</t>
  </si>
  <si>
    <t>F</t>
  </si>
  <si>
    <t>Muscle Car Pack</t>
  </si>
  <si>
    <t xml:space="preserve">Germany
</t>
  </si>
  <si>
    <t>Australia</t>
  </si>
  <si>
    <t>Japan</t>
  </si>
  <si>
    <t>Korea</t>
  </si>
  <si>
    <t>Sweden</t>
  </si>
  <si>
    <t>Spain</t>
  </si>
  <si>
    <t>Netherlands</t>
  </si>
  <si>
    <t>Limited Collectors Edition Exclusive</t>
  </si>
  <si>
    <t>Launch Bonus Car Pack</t>
  </si>
  <si>
    <t xml:space="preserve">BMW M5 Fan Pack </t>
  </si>
  <si>
    <t>Long Weight Transfer</t>
  </si>
  <si>
    <t xml:space="preserve">HKS Time Attack Evolution CT230R </t>
  </si>
  <si>
    <t xml:space="preserve">Top Secret Silvia D1-Spec S15 </t>
  </si>
  <si>
    <t xml:space="preserve">John Cooper Works Clubman </t>
  </si>
  <si>
    <t>Front Balance</t>
  </si>
  <si>
    <t>Pressure</t>
  </si>
  <si>
    <t>Brake Torque</t>
  </si>
  <si>
    <t>Brake Tire Ratio</t>
  </si>
  <si>
    <t>Braking</t>
  </si>
  <si>
    <r>
      <rPr>
        <b/>
        <sz val="10"/>
        <color indexed="10"/>
        <rFont val="Calibri"/>
        <family val="2"/>
      </rPr>
      <t xml:space="preserve">Forza </t>
    </r>
    <r>
      <rPr>
        <b/>
        <sz val="10"/>
        <rFont val="Calibri"/>
        <family val="2"/>
      </rPr>
      <t>Motorsport</t>
    </r>
    <r>
      <rPr>
        <b/>
        <sz val="10"/>
        <color indexed="10"/>
        <rFont val="Calibri"/>
        <family val="2"/>
      </rPr>
      <t xml:space="preserve"> </t>
    </r>
    <r>
      <rPr>
        <b/>
        <sz val="10"/>
        <rFont val="Calibri"/>
        <family val="2"/>
      </rPr>
      <t>-</t>
    </r>
    <r>
      <rPr>
        <b/>
        <sz val="10"/>
        <color indexed="10"/>
        <rFont val="Calibri"/>
        <family val="2"/>
      </rPr>
      <t xml:space="preserve"> </t>
    </r>
    <r>
      <rPr>
        <b/>
        <sz val="10"/>
        <color indexed="63"/>
        <rFont val="Calibri"/>
        <family val="2"/>
      </rPr>
      <t>Tuning Calculator</t>
    </r>
  </si>
  <si>
    <t>Static Axle Load Distribution</t>
  </si>
  <si>
    <t>Relative Centre of Gravity Height</t>
  </si>
  <si>
    <t>Dynamic Axle Load</t>
  </si>
  <si>
    <t>Braking Force</t>
  </si>
  <si>
    <t>Wheel Lock</t>
  </si>
  <si>
    <t>Disc Effective Radius</t>
  </si>
  <si>
    <t>Clamp Load</t>
  </si>
  <si>
    <t>System Pressure</t>
  </si>
  <si>
    <t>#2 Mopar Dodge Viper Competition Coupe</t>
  </si>
  <si>
    <t>#62 Risi Competizione F458 Italia</t>
  </si>
  <si>
    <t>Virage</t>
  </si>
  <si>
    <t>#2 Audi Sport Team Joest R15++ TDI</t>
  </si>
  <si>
    <t xml:space="preserve">Bel Air </t>
  </si>
  <si>
    <t xml:space="preserve">Focus ST </t>
  </si>
  <si>
    <t>Typhoon</t>
  </si>
  <si>
    <t>Scirocco R</t>
  </si>
  <si>
    <t>RS3 Sportback</t>
  </si>
  <si>
    <r>
      <rPr>
        <b/>
        <sz val="10"/>
        <color indexed="10"/>
        <rFont val="Calibri"/>
        <family val="2"/>
      </rPr>
      <t>Forza</t>
    </r>
    <r>
      <rPr>
        <b/>
        <sz val="10"/>
        <color indexed="63"/>
        <rFont val="Calibri"/>
        <family val="2"/>
      </rPr>
      <t xml:space="preserve"> Motorsport</t>
    </r>
    <r>
      <rPr>
        <b/>
        <sz val="10"/>
        <color indexed="63"/>
        <rFont val="Calibri"/>
        <family val="2"/>
      </rPr>
      <t xml:space="preserve"> - Transmission</t>
    </r>
  </si>
  <si>
    <r>
      <t>Drag Coefficient (C</t>
    </r>
    <r>
      <rPr>
        <vertAlign val="subscript"/>
        <sz val="8"/>
        <color rgb="FF3F3F3F"/>
        <rFont val="Arial"/>
        <family val="2"/>
      </rPr>
      <t>d</t>
    </r>
    <r>
      <rPr>
        <sz val="8"/>
        <color rgb="FF3F3F3F"/>
        <rFont val="Arial"/>
        <family val="2"/>
      </rPr>
      <t>)</t>
    </r>
  </si>
  <si>
    <t>Maximum Weight Distribution</t>
  </si>
  <si>
    <t>December IGN Pack</t>
  </si>
  <si>
    <t>SX4</t>
  </si>
  <si>
    <t>RX-8 R3</t>
  </si>
  <si>
    <t>F-150 SVT Raptor</t>
  </si>
  <si>
    <t>Chevelle SS-396</t>
  </si>
  <si>
    <t>Escort RS1800</t>
  </si>
  <si>
    <t>Volkswagon</t>
  </si>
  <si>
    <t>Scirroco S</t>
  </si>
  <si>
    <t>Alfa Romero</t>
  </si>
  <si>
    <t>Spider Quadrifoglio Verde</t>
  </si>
  <si>
    <t>Fiero GT</t>
  </si>
  <si>
    <t>GranTurismo MC GT4</t>
  </si>
  <si>
    <t>300 S</t>
  </si>
  <si>
    <t>January Jalopnik Pack</t>
  </si>
  <si>
    <t>Huayra</t>
  </si>
  <si>
    <t>#08 West Yokohama Gallardo LP560-4</t>
  </si>
  <si>
    <t>#33 Level 5 Motorsports Lola</t>
  </si>
  <si>
    <t>RS5</t>
  </si>
  <si>
    <t>Coupe 20V Turbo</t>
  </si>
  <si>
    <t>Impala SS</t>
  </si>
  <si>
    <t>Shelby Omni GLHS</t>
  </si>
  <si>
    <t>Pinto</t>
  </si>
  <si>
    <t>Montreal</t>
  </si>
  <si>
    <t>average</t>
  </si>
  <si>
    <t>favorite</t>
  </si>
  <si>
    <t>Enable</t>
  </si>
  <si>
    <t>Favorite Option</t>
  </si>
  <si>
    <t>Minimum Ride Height</t>
  </si>
  <si>
    <t>Maximum Ride Height</t>
  </si>
  <si>
    <t>Modified Ride Height</t>
  </si>
  <si>
    <t>Ride Height</t>
  </si>
  <si>
    <t>Veloster Turbo</t>
  </si>
  <si>
    <t>Hyundai Veloster Bonus Pack</t>
  </si>
  <si>
    <t xml:space="preserve">#67 Rhys Millen Racing Veloster </t>
  </si>
  <si>
    <t>Steering Angle</t>
  </si>
  <si>
    <t>Copyright © 2009-2012 Slave Munky @ Forza Tuning Labs. All rights reserved.</t>
  </si>
  <si>
    <r>
      <rPr>
        <b/>
        <sz val="10"/>
        <color indexed="10"/>
        <rFont val="Calibri"/>
        <family val="2"/>
      </rPr>
      <t xml:space="preserve">Forza </t>
    </r>
    <r>
      <rPr>
        <b/>
        <sz val="10"/>
        <rFont val="Calibri"/>
        <family val="2"/>
      </rPr>
      <t>Motorsport</t>
    </r>
    <r>
      <rPr>
        <b/>
        <sz val="10"/>
        <color indexed="10"/>
        <rFont val="Calibri"/>
        <family val="2"/>
      </rPr>
      <t xml:space="preserve"> </t>
    </r>
    <r>
      <rPr>
        <b/>
        <sz val="10"/>
        <rFont val="Calibri"/>
        <family val="2"/>
      </rPr>
      <t>-</t>
    </r>
    <r>
      <rPr>
        <b/>
        <sz val="10"/>
        <color indexed="10"/>
        <rFont val="Calibri"/>
        <family val="2"/>
      </rPr>
      <t xml:space="preserve"> </t>
    </r>
    <r>
      <rPr>
        <b/>
        <sz val="10"/>
        <color indexed="63"/>
        <rFont val="Calibri"/>
        <family val="2"/>
      </rPr>
      <t>Tuning Calculator v4.2.01.12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</si>
</sst>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;[Red]0"/>
    <numFmt numFmtId="165" formatCode="0.0"/>
    <numFmt numFmtId="166" formatCode="0.00;[Red]0.00"/>
    <numFmt numFmtId="167" formatCode="0.0%"/>
    <numFmt numFmtId="168" formatCode="0.0000"/>
    <numFmt numFmtId="169" formatCode="\+0.0%;\-0.0%"/>
    <numFmt numFmtId="170" formatCode="0.000"/>
    <numFmt numFmtId="171" formatCode="#,##0.0"/>
    <numFmt numFmtId="172" formatCode="#,##0.000"/>
    <numFmt numFmtId="173" formatCode="&quot;00:&quot;0#.000"/>
    <numFmt numFmtId="174" formatCode="#,##0.00&quot; &quot;[$€-407];[Red]&quot;-&quot;#,##0.00&quot; &quot;[$€-407]"/>
    <numFmt numFmtId="175" formatCode="&quot;$&quot;#,##0"/>
  </numFmts>
  <fonts count="8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indexed="81"/>
      <name val="Calibri"/>
      <family val="2"/>
    </font>
    <font>
      <b/>
      <sz val="8"/>
      <color indexed="81"/>
      <name val="Calibri"/>
      <family val="2"/>
    </font>
    <font>
      <b/>
      <sz val="8"/>
      <color indexed="10"/>
      <name val="Calibri"/>
      <family val="2"/>
    </font>
    <font>
      <b/>
      <sz val="10"/>
      <name val="Calibri"/>
      <family val="2"/>
    </font>
    <font>
      <b/>
      <sz val="10"/>
      <color indexed="8"/>
      <name val="Calibri"/>
      <family val="2"/>
    </font>
    <font>
      <b/>
      <sz val="10"/>
      <color indexed="63"/>
      <name val="Calibri"/>
      <family val="2"/>
    </font>
    <font>
      <sz val="8"/>
      <name val="Arial"/>
      <family val="2"/>
    </font>
    <font>
      <b/>
      <sz val="10"/>
      <color indexed="10"/>
      <name val="Calibri"/>
      <family val="2"/>
    </font>
    <font>
      <sz val="8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</font>
    <font>
      <b/>
      <vertAlign val="superscript"/>
      <sz val="8"/>
      <color indexed="10"/>
      <name val="Calibri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i/>
      <sz val="16"/>
      <color theme="1"/>
      <name val="Liberation Sans"/>
    </font>
    <font>
      <u/>
      <sz val="11"/>
      <color theme="1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Liberation Sans"/>
    </font>
    <font>
      <b/>
      <sz val="11"/>
      <color rgb="FF3F3F3F"/>
      <name val="Calibri"/>
      <family val="2"/>
      <scheme val="minor"/>
    </font>
    <font>
      <b/>
      <i/>
      <u/>
      <sz val="11"/>
      <color theme="1"/>
      <name val="Liberation Sans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theme="0"/>
      <name val="Calibri"/>
      <family val="2"/>
      <scheme val="minor"/>
    </font>
    <font>
      <sz val="8"/>
      <color rgb="FF3F3F3F"/>
      <name val="Arial"/>
      <family val="2"/>
    </font>
    <font>
      <b/>
      <sz val="8"/>
      <color rgb="FFEF4224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3F3F3F"/>
      <name val="Calibri"/>
      <family val="2"/>
      <scheme val="minor"/>
    </font>
    <font>
      <sz val="8"/>
      <color theme="0"/>
      <name val="Arial"/>
      <family val="2"/>
    </font>
    <font>
      <sz val="8"/>
      <color rgb="FF3F3F3F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rgb="FFFFFFFF"/>
      <name val="Arial"/>
      <family val="2"/>
    </font>
    <font>
      <b/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8"/>
      <color theme="1"/>
      <name val="Arial"/>
      <family val="2"/>
    </font>
    <font>
      <sz val="10"/>
      <color theme="1"/>
      <name val="Calibri"/>
      <family val="2"/>
    </font>
    <font>
      <sz val="10"/>
      <color rgb="FF3F3F3F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10"/>
      <color rgb="FFEF4224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FF0000"/>
      <name val="Arial"/>
      <family val="2"/>
    </font>
    <font>
      <b/>
      <sz val="8"/>
      <color rgb="FFFF0000"/>
      <name val="Calibri"/>
      <family val="2"/>
      <scheme val="minor"/>
    </font>
    <font>
      <b/>
      <sz val="10"/>
      <color theme="1"/>
      <name val="Calibri"/>
      <family val="2"/>
    </font>
    <font>
      <sz val="8"/>
      <color theme="1"/>
      <name val="Arial"/>
    </font>
    <font>
      <b/>
      <sz val="8"/>
      <color rgb="FF3F3F3F"/>
      <name val="Arial"/>
      <family val="2"/>
    </font>
    <font>
      <sz val="11"/>
      <color rgb="FF3F3F3F"/>
      <name val="Calibri"/>
      <family val="2"/>
      <scheme val="minor"/>
    </font>
    <font>
      <b/>
      <sz val="10"/>
      <color rgb="FF3F3F3F"/>
      <name val="Calibri"/>
      <family val="2"/>
    </font>
    <font>
      <i/>
      <sz val="8"/>
      <color rgb="FF3F3F3F"/>
      <name val="Arial"/>
      <family val="2"/>
    </font>
    <font>
      <sz val="10"/>
      <color theme="0"/>
      <name val="Calibri"/>
      <family val="2"/>
      <scheme val="minor"/>
    </font>
    <font>
      <sz val="10"/>
      <color rgb="FF3F3F3F"/>
      <name val="Calibri"/>
      <family val="2"/>
    </font>
    <font>
      <sz val="8"/>
      <color rgb="FF000000"/>
      <name val="Arial"/>
      <family val="2"/>
    </font>
    <font>
      <sz val="11"/>
      <color rgb="FF000000"/>
      <name val="Arial"/>
      <family val="2"/>
    </font>
    <font>
      <sz val="10"/>
      <color rgb="FF000000"/>
      <name val="Calibri"/>
      <family val="2"/>
      <scheme val="minor"/>
    </font>
    <font>
      <b/>
      <sz val="8"/>
      <color theme="0"/>
      <name val="Arial"/>
      <family val="2"/>
    </font>
    <font>
      <sz val="8"/>
      <color rgb="FF000000"/>
      <name val="Arial"/>
    </font>
    <font>
      <vertAlign val="subscript"/>
      <sz val="8"/>
      <color rgb="FF3F3F3F"/>
      <name val="Arial"/>
      <family val="2"/>
    </font>
    <font>
      <sz val="8"/>
      <color indexed="9"/>
      <name val="Arial"/>
      <family val="2"/>
    </font>
    <font>
      <u/>
      <sz val="10"/>
      <color indexed="12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5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5F5F5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F422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A6A6A"/>
        <bgColor indexed="64"/>
      </patternFill>
    </fill>
    <fill>
      <patternFill patternType="solid">
        <fgColor rgb="FF7D7D7D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63"/>
        <bgColor indexed="64"/>
      </patternFill>
    </fill>
  </fills>
  <borders count="9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/>
      <bottom style="thin">
        <color theme="0" tint="-0.34998626667073579"/>
      </bottom>
      <diagonal/>
    </border>
    <border>
      <left style="thin">
        <color theme="0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rgb="FFEF4224"/>
      </left>
      <right style="thin">
        <color rgb="FFEF4224"/>
      </right>
      <top style="thin">
        <color rgb="FFEF4224"/>
      </top>
      <bottom style="thin">
        <color rgb="FFEF422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rgb="FFEF4224"/>
      </bottom>
      <diagonal/>
    </border>
    <border>
      <left style="thin">
        <color theme="0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rgb="FFEF4224"/>
      </top>
      <bottom/>
      <diagonal/>
    </border>
    <border>
      <left/>
      <right/>
      <top style="thin">
        <color rgb="FFEF4224"/>
      </top>
      <bottom style="thin">
        <color rgb="FFEF4224"/>
      </bottom>
      <diagonal/>
    </border>
    <border>
      <left/>
      <right style="thin">
        <color rgb="FFEF4224"/>
      </right>
      <top style="thin">
        <color rgb="FFEF4224"/>
      </top>
      <bottom style="thin">
        <color rgb="FFEF4224"/>
      </bottom>
      <diagonal/>
    </border>
    <border>
      <left style="thin">
        <color rgb="FFEF4224"/>
      </left>
      <right/>
      <top style="thin">
        <color rgb="FFEF4224"/>
      </top>
      <bottom style="thin">
        <color rgb="FFEF422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rgb="FFEF4224"/>
      </top>
      <bottom style="thin">
        <color rgb="FFEF4224"/>
      </bottom>
      <diagonal/>
    </border>
    <border>
      <left style="thin">
        <color rgb="FF3F3F3F"/>
      </left>
      <right style="thin">
        <color theme="0"/>
      </right>
      <top style="thin">
        <color rgb="FF3F3F3F"/>
      </top>
      <bottom style="thin">
        <color rgb="FF3F3F3F"/>
      </bottom>
      <diagonal/>
    </border>
    <border>
      <left style="thin">
        <color theme="0"/>
      </left>
      <right style="thin">
        <color theme="0"/>
      </right>
      <top style="thin">
        <color rgb="FF3F3F3F"/>
      </top>
      <bottom style="thin">
        <color rgb="FF3F3F3F"/>
      </bottom>
      <diagonal/>
    </border>
    <border>
      <left style="thin">
        <color theme="0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theme="0"/>
      </left>
      <right/>
      <top style="thin">
        <color rgb="FF3F3F3F"/>
      </top>
      <bottom style="thin">
        <color rgb="FF3F3F3F"/>
      </bottom>
      <diagonal/>
    </border>
    <border>
      <left style="thin">
        <color theme="0"/>
      </left>
      <right/>
      <top style="thin">
        <color rgb="FF3F3F3F"/>
      </top>
      <bottom/>
      <diagonal/>
    </border>
    <border>
      <left/>
      <right style="thin">
        <color theme="0" tint="-0.34998626667073579"/>
      </right>
      <top style="thin">
        <color theme="0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rgb="FFEF4224"/>
      </top>
      <bottom style="thin">
        <color rgb="FFFF000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/>
      </top>
      <bottom style="thin">
        <color rgb="FFFF0000"/>
      </bottom>
      <diagonal/>
    </border>
    <border>
      <left style="thin">
        <color theme="0" tint="-0.34998626667073579"/>
      </left>
      <right/>
      <top style="thin">
        <color theme="0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rgb="FFFF0000"/>
      </top>
      <bottom style="thin">
        <color rgb="FFFF000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rgb="FFFF0000"/>
      </top>
      <bottom style="thin">
        <color rgb="FFEF422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 tint="-4.9989318521683403E-2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rgb="FFEF4224"/>
      </bottom>
      <diagonal/>
    </border>
    <border>
      <left style="thin">
        <color theme="0" tint="-0.34998626667073579"/>
      </left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/>
      <right/>
      <top/>
      <bottom style="thin">
        <color rgb="FF3F3F3F"/>
      </bottom>
      <diagonal/>
    </border>
    <border>
      <left style="thin">
        <color theme="0" tint="-0.34998626667073579"/>
      </left>
      <right/>
      <top style="medium">
        <color rgb="FFEF4224"/>
      </top>
      <bottom style="thin">
        <color theme="0" tint="-0.34998626667073579"/>
      </bottom>
      <diagonal/>
    </border>
    <border>
      <left/>
      <right/>
      <top style="medium">
        <color rgb="FFEF422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rgb="FFEF4224"/>
      </top>
      <bottom style="thin">
        <color theme="0" tint="-0.34998626667073579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 tint="-0.14993743705557422"/>
      </top>
      <bottom style="double">
        <color theme="0" tint="-0.14990691854609822"/>
      </bottom>
      <diagonal/>
    </border>
    <border>
      <left/>
      <right/>
      <top style="thin">
        <color theme="0" tint="-0.14996795556505021"/>
      </top>
      <bottom style="double">
        <color theme="0" tint="-0.1499679555650502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/>
      <top style="thin">
        <color theme="0" tint="-0.14996795556505021"/>
      </top>
      <bottom style="double">
        <color theme="0" tint="-0.14993743705557422"/>
      </bottom>
      <diagonal/>
    </border>
    <border>
      <left/>
      <right/>
      <top style="thin">
        <color theme="0" tint="-0.14990691854609822"/>
      </top>
      <bottom style="double">
        <color theme="0" tint="-0.14993743705557422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rgb="FFEF422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/>
      <diagonal/>
    </border>
    <border>
      <left style="thin">
        <color indexed="64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rgb="FFB2B2B2"/>
      </right>
      <top style="thin">
        <color theme="0" tint="-0.34998626667073579"/>
      </top>
      <bottom/>
      <diagonal/>
    </border>
    <border>
      <left style="thin">
        <color rgb="FFB2B2B2"/>
      </left>
      <right style="thin">
        <color rgb="FFB2B2B2"/>
      </right>
      <top style="thin">
        <color theme="0" tint="-0.34998626667073579"/>
      </top>
      <bottom/>
      <diagonal/>
    </border>
    <border>
      <left style="thin">
        <color rgb="FFB2B2B2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rgb="FFEF4224"/>
      </top>
      <bottom style="thin">
        <color rgb="FFEF4224"/>
      </bottom>
      <diagonal/>
    </border>
    <border>
      <left/>
      <right style="thin">
        <color theme="0" tint="-0.34998626667073579"/>
      </right>
      <top style="thin">
        <color rgb="FFEF4224"/>
      </top>
      <bottom style="thin">
        <color rgb="FFEF422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rgb="FF3F3F3F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double">
        <color theme="0" tint="-0.34998626667073579"/>
      </bottom>
      <diagonal/>
    </border>
    <border>
      <left/>
      <right/>
      <top style="thin">
        <color theme="0" tint="-0.34998626667073579"/>
      </top>
      <bottom style="double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/>
      <right/>
      <top style="thin">
        <color theme="0" tint="-0.14996795556505021"/>
      </top>
      <bottom style="thick">
        <color theme="0" tint="-0.14996795556505021"/>
      </bottom>
      <diagonal/>
    </border>
    <border>
      <left/>
      <right/>
      <top/>
      <bottom style="double">
        <color theme="0" tint="-0.14996795556505021"/>
      </bottom>
      <diagonal/>
    </border>
  </borders>
  <cellStyleXfs count="6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5" borderId="0" applyNumberFormat="0" applyBorder="0" applyAlignment="0" applyProtection="0"/>
    <xf numFmtId="0" fontId="1" fillId="8" borderId="0" applyNumberFormat="0" applyBorder="0" applyAlignment="0" applyProtection="0"/>
    <xf numFmtId="0" fontId="32" fillId="26" borderId="0" applyNumberFormat="0" applyBorder="0" applyAlignment="0" applyProtection="0"/>
    <xf numFmtId="0" fontId="1" fillId="9" borderId="0" applyNumberFormat="0" applyBorder="0" applyAlignment="0" applyProtection="0"/>
    <xf numFmtId="0" fontId="32" fillId="27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32" fillId="2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0" fontId="33" fillId="29" borderId="11" applyNumberFormat="0" applyAlignment="0" applyProtection="0"/>
    <xf numFmtId="0" fontId="15" fillId="20" borderId="1" applyNumberFormat="0" applyAlignment="0" applyProtection="0"/>
    <xf numFmtId="0" fontId="16" fillId="21" borderId="2" applyNumberFormat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34" fillId="0" borderId="0">
      <alignment horizontal="center"/>
    </xf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34" fillId="0" borderId="0">
      <alignment horizontal="center" textRotation="90"/>
    </xf>
    <xf numFmtId="0" fontId="35" fillId="0" borderId="0" applyNumberFormat="0" applyFill="0" applyBorder="0" applyAlignment="0" applyProtection="0"/>
    <xf numFmtId="0" fontId="36" fillId="30" borderId="11" applyNumberFormat="0" applyAlignment="0" applyProtection="0"/>
    <xf numFmtId="0" fontId="22" fillId="7" borderId="1" applyNumberFormat="0" applyAlignment="0" applyProtection="0"/>
    <xf numFmtId="0" fontId="23" fillId="0" borderId="6" applyNumberFormat="0" applyFill="0" applyAlignment="0" applyProtection="0"/>
    <xf numFmtId="0" fontId="37" fillId="31" borderId="0" applyNumberFormat="0" applyBorder="0" applyAlignment="0" applyProtection="0"/>
    <xf numFmtId="0" fontId="24" fillId="22" borderId="0" applyNumberFormat="0" applyBorder="0" applyAlignment="0" applyProtection="0"/>
    <xf numFmtId="0" fontId="2" fillId="0" borderId="7">
      <alignment horizontal="center" vertical="center"/>
      <protection locked="0"/>
    </xf>
    <xf numFmtId="0" fontId="2" fillId="0" borderId="0"/>
    <xf numFmtId="0" fontId="38" fillId="0" borderId="0"/>
    <xf numFmtId="0" fontId="2" fillId="0" borderId="0">
      <alignment vertical="center"/>
    </xf>
    <xf numFmtId="0" fontId="32" fillId="32" borderId="12" applyNumberFormat="0" applyFont="0" applyAlignment="0" applyProtection="0"/>
    <xf numFmtId="0" fontId="1" fillId="23" borderId="8" applyNumberFormat="0" applyFont="0" applyAlignment="0" applyProtection="0"/>
    <xf numFmtId="0" fontId="39" fillId="29" borderId="13" applyNumberFormat="0" applyAlignment="0" applyProtection="0"/>
    <xf numFmtId="0" fontId="25" fillId="20" borderId="9" applyNumberFormat="0" applyAlignment="0" applyProtection="0"/>
    <xf numFmtId="9" fontId="32" fillId="0" borderId="0" applyFont="0" applyFill="0" applyBorder="0" applyAlignment="0" applyProtection="0"/>
    <xf numFmtId="0" fontId="40" fillId="0" borderId="0"/>
    <xf numFmtId="174" fontId="40" fillId="0" borderId="0"/>
    <xf numFmtId="0" fontId="26" fillId="0" borderId="0" applyNumberFormat="0" applyFill="0" applyBorder="0" applyAlignment="0" applyProtection="0"/>
    <xf numFmtId="0" fontId="27" fillId="0" borderId="10" applyNumberFormat="0" applyFill="0" applyAlignment="0" applyProtection="0"/>
    <xf numFmtId="0" fontId="28" fillId="0" borderId="0" applyNumberFormat="0" applyFill="0" applyBorder="0" applyAlignment="0" applyProtection="0"/>
    <xf numFmtId="0" fontId="81" fillId="41" borderId="0" applyNumberFormat="0">
      <alignment horizontal="center" vertical="center" wrapText="1"/>
      <protection locked="0"/>
    </xf>
    <xf numFmtId="0" fontId="82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723">
    <xf numFmtId="0" fontId="0" fillId="0" borderId="0" xfId="0"/>
    <xf numFmtId="0" fontId="42" fillId="0" borderId="0" xfId="51" applyFont="1" applyFill="1" applyBorder="1" applyAlignment="1" applyProtection="1">
      <alignment horizontal="center" vertical="center"/>
    </xf>
    <xf numFmtId="165" fontId="42" fillId="0" borderId="0" xfId="51" applyNumberFormat="1" applyFont="1" applyFill="1" applyBorder="1" applyAlignment="1" applyProtection="1">
      <alignment horizontal="right" vertical="center"/>
    </xf>
    <xf numFmtId="0" fontId="0" fillId="0" borderId="0" xfId="0" applyAlignment="1" applyProtection="1">
      <alignment vertical="center"/>
    </xf>
    <xf numFmtId="0" fontId="43" fillId="0" borderId="0" xfId="51" applyFont="1" applyFill="1" applyBorder="1" applyAlignment="1" applyProtection="1">
      <alignment horizontal="center" vertical="center"/>
    </xf>
    <xf numFmtId="165" fontId="43" fillId="0" borderId="0" xfId="51" applyNumberFormat="1" applyFont="1" applyFill="1" applyBorder="1" applyAlignment="1" applyProtection="1">
      <alignment horizontal="right" vertical="center"/>
    </xf>
    <xf numFmtId="1" fontId="42" fillId="0" borderId="0" xfId="51" applyNumberFormat="1" applyFont="1" applyFill="1" applyBorder="1" applyAlignment="1" applyProtection="1">
      <alignment horizontal="right" vertical="center"/>
    </xf>
    <xf numFmtId="0" fontId="32" fillId="0" borderId="0" xfId="11" applyFont="1" applyFill="1" applyBorder="1" applyAlignment="1" applyProtection="1">
      <alignment horizontal="left" vertical="center"/>
    </xf>
    <xf numFmtId="1" fontId="0" fillId="0" borderId="0" xfId="0" applyNumberFormat="1" applyAlignment="1" applyProtection="1">
      <alignment horizontal="right" vertical="center"/>
    </xf>
    <xf numFmtId="1" fontId="43" fillId="0" borderId="0" xfId="51" applyNumberFormat="1" applyFont="1" applyFill="1" applyBorder="1" applyAlignment="1" applyProtection="1">
      <alignment horizontal="right" vertical="center"/>
    </xf>
    <xf numFmtId="0" fontId="44" fillId="0" borderId="0" xfId="0" applyFont="1" applyBorder="1" applyAlignment="1" applyProtection="1">
      <alignment vertical="center"/>
    </xf>
    <xf numFmtId="0" fontId="3" fillId="0" borderId="0" xfId="51" applyFont="1" applyFill="1" applyBorder="1" applyAlignment="1" applyProtection="1">
      <alignment vertical="center"/>
    </xf>
    <xf numFmtId="0" fontId="45" fillId="0" borderId="0" xfId="45" applyFont="1" applyFill="1" applyBorder="1" applyAlignment="1" applyProtection="1">
      <alignment horizontal="center" vertical="center"/>
    </xf>
    <xf numFmtId="0" fontId="0" fillId="0" borderId="0" xfId="0" applyFont="1" applyFill="1" applyAlignment="1" applyProtection="1">
      <alignment vertical="center"/>
    </xf>
    <xf numFmtId="0" fontId="44" fillId="0" borderId="0" xfId="0" applyNumberFormat="1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47" fillId="33" borderId="14" xfId="47" applyFont="1" applyFill="1" applyBorder="1" applyAlignment="1" applyProtection="1">
      <alignment horizontal="left" vertical="center"/>
    </xf>
    <xf numFmtId="0" fontId="48" fillId="0" borderId="0" xfId="30" applyNumberFormat="1" applyFont="1" applyFill="1" applyBorder="1" applyAlignment="1" applyProtection="1">
      <alignment vertical="center"/>
    </xf>
    <xf numFmtId="0" fontId="49" fillId="0" borderId="0" xfId="51" applyFont="1" applyFill="1" applyBorder="1" applyAlignment="1" applyProtection="1">
      <alignment horizontal="center" vertical="center"/>
    </xf>
    <xf numFmtId="1" fontId="32" fillId="0" borderId="0" xfId="11" applyNumberFormat="1" applyFont="1" applyFill="1" applyBorder="1" applyAlignment="1" applyProtection="1">
      <alignment horizontal="right" vertical="center"/>
    </xf>
    <xf numFmtId="0" fontId="44" fillId="0" borderId="15" xfId="0" applyNumberFormat="1" applyFont="1" applyBorder="1" applyAlignment="1" applyProtection="1">
      <alignment vertical="center"/>
    </xf>
    <xf numFmtId="0" fontId="44" fillId="0" borderId="16" xfId="0" applyFont="1" applyBorder="1" applyAlignment="1" applyProtection="1">
      <alignment vertical="center"/>
    </xf>
    <xf numFmtId="0" fontId="50" fillId="0" borderId="0" xfId="0" applyFont="1" applyProtection="1"/>
    <xf numFmtId="166" fontId="47" fillId="33" borderId="18" xfId="30" applyNumberFormat="1" applyFont="1" applyFill="1" applyBorder="1" applyAlignment="1" applyProtection="1">
      <alignment horizontal="right" vertical="center"/>
    </xf>
    <xf numFmtId="2" fontId="47" fillId="33" borderId="18" xfId="30" applyNumberFormat="1" applyFont="1" applyFill="1" applyBorder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41" fillId="0" borderId="0" xfId="0" applyFont="1" applyAlignment="1" applyProtection="1">
      <alignment vertical="center"/>
    </xf>
    <xf numFmtId="0" fontId="44" fillId="0" borderId="0" xfId="0" applyFont="1" applyAlignment="1">
      <alignment horizontal="right"/>
    </xf>
    <xf numFmtId="164" fontId="51" fillId="33" borderId="14" xfId="14" applyNumberFormat="1" applyFont="1" applyFill="1" applyBorder="1" applyAlignment="1" applyProtection="1">
      <alignment horizontal="left" vertical="center"/>
    </xf>
    <xf numFmtId="2" fontId="47" fillId="33" borderId="20" xfId="30" applyNumberFormat="1" applyFont="1" applyFill="1" applyBorder="1" applyAlignment="1" applyProtection="1">
      <alignment horizontal="right" vertical="center"/>
    </xf>
    <xf numFmtId="0" fontId="47" fillId="33" borderId="21" xfId="47" applyFont="1" applyFill="1" applyBorder="1" applyAlignment="1" applyProtection="1">
      <alignment horizontal="left" vertical="center"/>
    </xf>
    <xf numFmtId="164" fontId="51" fillId="33" borderId="21" xfId="14" applyNumberFormat="1" applyFont="1" applyFill="1" applyBorder="1" applyAlignment="1" applyProtection="1">
      <alignment horizontal="left" vertical="center"/>
    </xf>
    <xf numFmtId="166" fontId="47" fillId="33" borderId="22" xfId="30" applyNumberFormat="1" applyFont="1" applyFill="1" applyBorder="1" applyAlignment="1" applyProtection="1">
      <alignment horizontal="right" vertical="center"/>
    </xf>
    <xf numFmtId="0" fontId="47" fillId="33" borderId="23" xfId="47" applyFont="1" applyFill="1" applyBorder="1" applyAlignment="1" applyProtection="1">
      <alignment horizontal="left" vertical="center"/>
    </xf>
    <xf numFmtId="164" fontId="47" fillId="33" borderId="14" xfId="14" applyNumberFormat="1" applyFont="1" applyFill="1" applyBorder="1" applyAlignment="1" applyProtection="1">
      <alignment horizontal="left" vertical="center"/>
    </xf>
    <xf numFmtId="164" fontId="51" fillId="33" borderId="24" xfId="14" applyNumberFormat="1" applyFont="1" applyFill="1" applyBorder="1" applyAlignment="1" applyProtection="1">
      <alignment horizontal="right" vertical="center"/>
    </xf>
    <xf numFmtId="164" fontId="51" fillId="33" borderId="25" xfId="14" applyNumberFormat="1" applyFont="1" applyFill="1" applyBorder="1" applyAlignment="1" applyProtection="1">
      <alignment horizontal="right" vertical="center"/>
    </xf>
    <xf numFmtId="166" fontId="47" fillId="33" borderId="24" xfId="14" applyNumberFormat="1" applyFont="1" applyFill="1" applyBorder="1" applyAlignment="1" applyProtection="1">
      <alignment horizontal="right" vertical="center"/>
    </xf>
    <xf numFmtId="1" fontId="50" fillId="0" borderId="17" xfId="0" applyNumberFormat="1" applyFont="1" applyBorder="1" applyAlignment="1" applyProtection="1">
      <alignment horizontal="center" vertical="center"/>
    </xf>
    <xf numFmtId="170" fontId="50" fillId="0" borderId="17" xfId="0" applyNumberFormat="1" applyFont="1" applyBorder="1" applyAlignment="1" applyProtection="1">
      <alignment horizontal="center" vertical="center"/>
    </xf>
    <xf numFmtId="0" fontId="52" fillId="34" borderId="26" xfId="42" applyFont="1" applyFill="1" applyBorder="1" applyAlignment="1" applyProtection="1">
      <alignment horizontal="center" vertical="center" wrapText="1"/>
    </xf>
    <xf numFmtId="0" fontId="52" fillId="34" borderId="27" xfId="42" applyFont="1" applyFill="1" applyBorder="1" applyAlignment="1" applyProtection="1">
      <alignment horizontal="center" vertical="center" wrapText="1"/>
    </xf>
    <xf numFmtId="166" fontId="47" fillId="33" borderId="24" xfId="0" applyNumberFormat="1" applyFont="1" applyFill="1" applyBorder="1" applyAlignment="1" applyProtection="1">
      <alignment vertical="center"/>
    </xf>
    <xf numFmtId="0" fontId="47" fillId="33" borderId="14" xfId="0" applyFont="1" applyFill="1" applyBorder="1" applyAlignment="1" applyProtection="1">
      <alignment vertical="center"/>
    </xf>
    <xf numFmtId="0" fontId="44" fillId="35" borderId="17" xfId="0" applyFont="1" applyFill="1" applyBorder="1" applyAlignment="1" applyProtection="1">
      <alignment horizontal="center" vertical="center"/>
    </xf>
    <xf numFmtId="2" fontId="47" fillId="33" borderId="23" xfId="30" applyNumberFormat="1" applyFont="1" applyFill="1" applyBorder="1" applyAlignment="1" applyProtection="1">
      <alignment horizontal="right" vertical="center"/>
    </xf>
    <xf numFmtId="2" fontId="47" fillId="33" borderId="14" xfId="30" applyNumberFormat="1" applyFont="1" applyFill="1" applyBorder="1" applyAlignment="1" applyProtection="1">
      <alignment horizontal="right" vertical="center"/>
    </xf>
    <xf numFmtId="165" fontId="47" fillId="33" borderId="18" xfId="30" applyNumberFormat="1" applyFont="1" applyFill="1" applyBorder="1" applyAlignment="1" applyProtection="1">
      <alignment horizontal="right" vertical="center"/>
    </xf>
    <xf numFmtId="0" fontId="47" fillId="33" borderId="14" xfId="30" applyFont="1" applyFill="1" applyBorder="1" applyAlignment="1" applyProtection="1">
      <alignment horizontal="left" vertical="center"/>
    </xf>
    <xf numFmtId="0" fontId="0" fillId="0" borderId="0" xfId="0" applyNumberFormat="1" applyAlignment="1" applyProtection="1">
      <alignment vertical="center"/>
    </xf>
    <xf numFmtId="1" fontId="51" fillId="0" borderId="17" xfId="0" applyNumberFormat="1" applyFont="1" applyBorder="1" applyAlignment="1" applyProtection="1">
      <alignment horizontal="center" vertical="center"/>
    </xf>
    <xf numFmtId="0" fontId="52" fillId="34" borderId="28" xfId="42" applyFont="1" applyFill="1" applyBorder="1" applyAlignment="1" applyProtection="1">
      <alignment horizontal="center" vertical="center" wrapText="1"/>
    </xf>
    <xf numFmtId="1" fontId="53" fillId="35" borderId="17" xfId="11" applyNumberFormat="1" applyFont="1" applyFill="1" applyBorder="1" applyAlignment="1" applyProtection="1">
      <alignment horizontal="center" vertical="center"/>
    </xf>
    <xf numFmtId="165" fontId="53" fillId="35" borderId="17" xfId="11" applyNumberFormat="1" applyFont="1" applyFill="1" applyBorder="1" applyAlignment="1" applyProtection="1">
      <alignment horizontal="center" vertical="center"/>
    </xf>
    <xf numFmtId="165" fontId="53" fillId="0" borderId="17" xfId="47" applyNumberFormat="1" applyFont="1" applyFill="1" applyBorder="1" applyAlignment="1" applyProtection="1">
      <alignment horizontal="center" vertical="center"/>
    </xf>
    <xf numFmtId="1" fontId="54" fillId="36" borderId="17" xfId="11" applyNumberFormat="1" applyFont="1" applyFill="1" applyBorder="1" applyAlignment="1" applyProtection="1">
      <alignment horizontal="center" vertical="center"/>
    </xf>
    <xf numFmtId="165" fontId="54" fillId="36" borderId="17" xfId="11" applyNumberFormat="1" applyFont="1" applyFill="1" applyBorder="1" applyAlignment="1" applyProtection="1">
      <alignment horizontal="center" vertical="center"/>
    </xf>
    <xf numFmtId="165" fontId="47" fillId="35" borderId="17" xfId="11" applyNumberFormat="1" applyFont="1" applyFill="1" applyBorder="1" applyAlignment="1" applyProtection="1">
      <alignment horizontal="center" vertical="center"/>
    </xf>
    <xf numFmtId="0" fontId="50" fillId="0" borderId="0" xfId="47" applyFont="1" applyFill="1" applyBorder="1" applyAlignment="1" applyProtection="1">
      <alignment horizontal="center" vertical="center"/>
    </xf>
    <xf numFmtId="1" fontId="50" fillId="0" borderId="0" xfId="47" applyNumberFormat="1" applyFont="1" applyFill="1" applyBorder="1" applyAlignment="1" applyProtection="1">
      <alignment horizontal="center" vertical="center"/>
    </xf>
    <xf numFmtId="0" fontId="52" fillId="34" borderId="26" xfId="42" applyFont="1" applyFill="1" applyBorder="1" applyAlignment="1" applyProtection="1">
      <alignment horizontal="center" vertical="center"/>
    </xf>
    <xf numFmtId="0" fontId="52" fillId="34" borderId="28" xfId="42" applyFont="1" applyFill="1" applyBorder="1" applyAlignment="1" applyProtection="1">
      <alignment horizontal="center" vertical="center"/>
    </xf>
    <xf numFmtId="2" fontId="52" fillId="34" borderId="27" xfId="42" applyNumberFormat="1" applyFont="1" applyFill="1" applyBorder="1" applyAlignment="1" applyProtection="1">
      <alignment horizontal="center" vertical="center"/>
    </xf>
    <xf numFmtId="0" fontId="55" fillId="34" borderId="28" xfId="42" applyFont="1" applyFill="1" applyBorder="1" applyAlignment="1" applyProtection="1">
      <alignment horizontal="center" vertical="center"/>
    </xf>
    <xf numFmtId="0" fontId="52" fillId="34" borderId="27" xfId="42" applyFont="1" applyFill="1" applyBorder="1" applyAlignment="1" applyProtection="1">
      <alignment horizontal="center" vertical="center"/>
    </xf>
    <xf numFmtId="0" fontId="52" fillId="34" borderId="14" xfId="47" applyFont="1" applyFill="1" applyBorder="1" applyAlignment="1" applyProtection="1">
      <alignment vertical="center"/>
    </xf>
    <xf numFmtId="0" fontId="53" fillId="35" borderId="19" xfId="11" applyFont="1" applyFill="1" applyBorder="1" applyAlignment="1" applyProtection="1">
      <alignment horizontal="center" vertical="center"/>
    </xf>
    <xf numFmtId="165" fontId="53" fillId="0" borderId="19" xfId="47" applyNumberFormat="1" applyFont="1" applyFill="1" applyBorder="1" applyAlignment="1" applyProtection="1">
      <alignment horizontal="center" vertical="center"/>
    </xf>
    <xf numFmtId="1" fontId="53" fillId="0" borderId="19" xfId="11" applyNumberFormat="1" applyFont="1" applyFill="1" applyBorder="1" applyAlignment="1" applyProtection="1">
      <alignment horizontal="center" vertical="center"/>
    </xf>
    <xf numFmtId="1" fontId="47" fillId="0" borderId="19" xfId="30" applyNumberFormat="1" applyFont="1" applyFill="1" applyBorder="1" applyAlignment="1" applyProtection="1">
      <alignment horizontal="center" vertical="center"/>
    </xf>
    <xf numFmtId="1" fontId="53" fillId="0" borderId="17" xfId="11" applyNumberFormat="1" applyFont="1" applyFill="1" applyBorder="1" applyAlignment="1" applyProtection="1">
      <alignment horizontal="center" vertical="center"/>
    </xf>
    <xf numFmtId="166" fontId="48" fillId="33" borderId="24" xfId="47" applyNumberFormat="1" applyFont="1" applyFill="1" applyBorder="1" applyAlignment="1" applyProtection="1">
      <alignment horizontal="right" vertical="center"/>
    </xf>
    <xf numFmtId="166" fontId="48" fillId="33" borderId="14" xfId="47" applyNumberFormat="1" applyFont="1" applyFill="1" applyBorder="1" applyAlignment="1" applyProtection="1">
      <alignment vertical="center"/>
    </xf>
    <xf numFmtId="1" fontId="47" fillId="33" borderId="24" xfId="47" applyNumberFormat="1" applyFont="1" applyFill="1" applyBorder="1" applyAlignment="1" applyProtection="1">
      <alignment horizontal="right" vertical="center"/>
    </xf>
    <xf numFmtId="0" fontId="56" fillId="0" borderId="0" xfId="47" applyFont="1" applyFill="1" applyBorder="1" applyAlignment="1" applyProtection="1">
      <alignment horizontal="center" vertical="center"/>
    </xf>
    <xf numFmtId="1" fontId="47" fillId="0" borderId="17" xfId="30" applyNumberFormat="1" applyFont="1" applyFill="1" applyBorder="1" applyAlignment="1" applyProtection="1">
      <alignment horizontal="center" vertical="center"/>
    </xf>
    <xf numFmtId="1" fontId="54" fillId="36" borderId="26" xfId="11" applyNumberFormat="1" applyFont="1" applyFill="1" applyBorder="1" applyAlignment="1" applyProtection="1">
      <alignment horizontal="center" vertical="center"/>
    </xf>
    <xf numFmtId="1" fontId="54" fillId="36" borderId="28" xfId="11" applyNumberFormat="1" applyFont="1" applyFill="1" applyBorder="1" applyAlignment="1" applyProtection="1">
      <alignment horizontal="center" vertical="center"/>
    </xf>
    <xf numFmtId="1" fontId="54" fillId="36" borderId="27" xfId="11" applyNumberFormat="1" applyFont="1" applyFill="1" applyBorder="1" applyAlignment="1" applyProtection="1">
      <alignment horizontal="center" vertical="center"/>
    </xf>
    <xf numFmtId="2" fontId="50" fillId="0" borderId="0" xfId="47" applyNumberFormat="1" applyFont="1" applyFill="1" applyBorder="1" applyAlignment="1" applyProtection="1">
      <alignment horizontal="center" vertical="center"/>
    </xf>
    <xf numFmtId="164" fontId="50" fillId="0" borderId="0" xfId="47" applyNumberFormat="1" applyFont="1" applyFill="1" applyBorder="1" applyAlignment="1" applyProtection="1">
      <alignment horizontal="center" vertical="center"/>
    </xf>
    <xf numFmtId="0" fontId="50" fillId="0" borderId="0" xfId="47" applyFont="1" applyFill="1" applyBorder="1" applyAlignment="1" applyProtection="1">
      <alignment horizontal="left" vertical="center" wrapText="1"/>
    </xf>
    <xf numFmtId="0" fontId="48" fillId="0" borderId="0" xfId="47" applyNumberFormat="1" applyFont="1" applyFill="1" applyBorder="1" applyAlignment="1" applyProtection="1">
      <alignment horizontal="center" vertical="center"/>
    </xf>
    <xf numFmtId="0" fontId="50" fillId="0" borderId="0" xfId="47" applyNumberFormat="1" applyFont="1" applyFill="1" applyBorder="1" applyAlignment="1" applyProtection="1">
      <alignment horizontal="center" vertical="center"/>
    </xf>
    <xf numFmtId="2" fontId="50" fillId="0" borderId="14" xfId="47" applyNumberFormat="1" applyFont="1" applyFill="1" applyBorder="1" applyAlignment="1" applyProtection="1">
      <alignment horizontal="center" vertical="center"/>
    </xf>
    <xf numFmtId="2" fontId="48" fillId="0" borderId="14" xfId="47" applyNumberFormat="1" applyFont="1" applyFill="1" applyBorder="1" applyAlignment="1" applyProtection="1">
      <alignment horizontal="center" vertical="center"/>
    </xf>
    <xf numFmtId="2" fontId="47" fillId="0" borderId="17" xfId="30" applyNumberFormat="1" applyFont="1" applyFill="1" applyBorder="1" applyAlignment="1" applyProtection="1">
      <alignment horizontal="center" vertical="center"/>
    </xf>
    <xf numFmtId="165" fontId="47" fillId="33" borderId="14" xfId="30" applyNumberFormat="1" applyFont="1" applyFill="1" applyBorder="1" applyAlignment="1" applyProtection="1">
      <alignment horizontal="right" vertical="center"/>
    </xf>
    <xf numFmtId="0" fontId="52" fillId="34" borderId="28" xfId="42" applyNumberFormat="1" applyFont="1" applyFill="1" applyBorder="1" applyAlignment="1" applyProtection="1">
      <alignment horizontal="center" vertical="center"/>
    </xf>
    <xf numFmtId="0" fontId="52" fillId="34" borderId="26" xfId="42" applyNumberFormat="1" applyFont="1" applyFill="1" applyBorder="1" applyAlignment="1" applyProtection="1">
      <alignment horizontal="center" vertical="center"/>
    </xf>
    <xf numFmtId="165" fontId="0" fillId="0" borderId="0" xfId="0" applyNumberFormat="1" applyAlignment="1" applyProtection="1">
      <alignment vertical="center"/>
    </xf>
    <xf numFmtId="0" fontId="57" fillId="0" borderId="0" xfId="0" applyFont="1" applyProtection="1"/>
    <xf numFmtId="0" fontId="0" fillId="0" borderId="0" xfId="0" applyProtection="1"/>
    <xf numFmtId="2" fontId="48" fillId="35" borderId="23" xfId="11" applyNumberFormat="1" applyFont="1" applyFill="1" applyBorder="1" applyAlignment="1" applyProtection="1">
      <alignment horizontal="center" vertical="center"/>
    </xf>
    <xf numFmtId="0" fontId="52" fillId="34" borderId="29" xfId="42" applyNumberFormat="1" applyFont="1" applyFill="1" applyBorder="1" applyAlignment="1" applyProtection="1">
      <alignment horizontal="center" vertical="center"/>
    </xf>
    <xf numFmtId="0" fontId="52" fillId="34" borderId="30" xfId="42" applyNumberFormat="1" applyFont="1" applyFill="1" applyBorder="1" applyAlignment="1" applyProtection="1">
      <alignment horizontal="center" vertical="center"/>
    </xf>
    <xf numFmtId="3" fontId="43" fillId="0" borderId="25" xfId="0" applyNumberFormat="1" applyFont="1" applyBorder="1" applyAlignment="1" applyProtection="1">
      <alignment horizontal="right"/>
    </xf>
    <xf numFmtId="0" fontId="43" fillId="0" borderId="21" xfId="0" applyFont="1" applyBorder="1" applyProtection="1"/>
    <xf numFmtId="3" fontId="43" fillId="0" borderId="15" xfId="0" applyNumberFormat="1" applyFont="1" applyBorder="1" applyAlignment="1" applyProtection="1">
      <alignment horizontal="right"/>
    </xf>
    <xf numFmtId="0" fontId="43" fillId="0" borderId="16" xfId="0" applyFont="1" applyBorder="1" applyProtection="1"/>
    <xf numFmtId="0" fontId="43" fillId="0" borderId="23" xfId="0" applyFont="1" applyBorder="1" applyProtection="1"/>
    <xf numFmtId="3" fontId="43" fillId="0" borderId="25" xfId="0" applyNumberFormat="1" applyFont="1" applyBorder="1" applyProtection="1"/>
    <xf numFmtId="3" fontId="43" fillId="0" borderId="15" xfId="0" applyNumberFormat="1" applyFont="1" applyBorder="1" applyProtection="1"/>
    <xf numFmtId="3" fontId="43" fillId="0" borderId="31" xfId="0" applyNumberFormat="1" applyFont="1" applyBorder="1" applyProtection="1"/>
    <xf numFmtId="0" fontId="42" fillId="0" borderId="14" xfId="0" applyFont="1" applyBorder="1" applyAlignment="1" applyProtection="1">
      <alignment horizontal="center" vertical="center"/>
    </xf>
    <xf numFmtId="170" fontId="47" fillId="33" borderId="14" xfId="30" applyNumberFormat="1" applyFont="1" applyFill="1" applyBorder="1" applyAlignment="1" applyProtection="1">
      <alignment horizontal="left" vertical="center"/>
    </xf>
    <xf numFmtId="0" fontId="58" fillId="0" borderId="24" xfId="0" applyNumberFormat="1" applyFont="1" applyBorder="1" applyAlignment="1" applyProtection="1">
      <alignment horizontal="center" vertical="center"/>
    </xf>
    <xf numFmtId="165" fontId="47" fillId="33" borderId="24" xfId="30" applyNumberFormat="1" applyFont="1" applyFill="1" applyBorder="1" applyAlignment="1" applyProtection="1">
      <alignment horizontal="right" vertical="center"/>
    </xf>
    <xf numFmtId="1" fontId="43" fillId="0" borderId="15" xfId="0" applyNumberFormat="1" applyFont="1" applyBorder="1" applyAlignment="1" applyProtection="1">
      <alignment horizontal="right"/>
    </xf>
    <xf numFmtId="165" fontId="43" fillId="0" borderId="31" xfId="0" applyNumberFormat="1" applyFont="1" applyBorder="1" applyAlignment="1" applyProtection="1">
      <alignment horizontal="right"/>
    </xf>
    <xf numFmtId="0" fontId="48" fillId="0" borderId="0" xfId="0" applyFont="1" applyFill="1" applyBorder="1" applyAlignment="1" applyProtection="1">
      <alignment horizontal="left" vertical="top" wrapText="1"/>
    </xf>
    <xf numFmtId="165" fontId="47" fillId="33" borderId="24" xfId="47" applyNumberFormat="1" applyFont="1" applyFill="1" applyBorder="1" applyAlignment="1" applyProtection="1">
      <alignment vertical="center"/>
    </xf>
    <xf numFmtId="165" fontId="47" fillId="33" borderId="14" xfId="47" applyNumberFormat="1" applyFont="1" applyFill="1" applyBorder="1" applyAlignment="1" applyProtection="1">
      <alignment vertical="center"/>
    </xf>
    <xf numFmtId="0" fontId="50" fillId="0" borderId="0" xfId="0" applyFont="1" applyAlignment="1" applyProtection="1">
      <alignment vertical="center"/>
    </xf>
    <xf numFmtId="1" fontId="50" fillId="33" borderId="17" xfId="11" applyNumberFormat="1" applyFont="1" applyFill="1" applyBorder="1" applyAlignment="1" applyProtection="1">
      <alignment horizontal="center" vertical="center"/>
    </xf>
    <xf numFmtId="165" fontId="51" fillId="33" borderId="24" xfId="47" applyNumberFormat="1" applyFont="1" applyFill="1" applyBorder="1" applyAlignment="1" applyProtection="1">
      <alignment horizontal="right" vertical="center"/>
    </xf>
    <xf numFmtId="0" fontId="51" fillId="33" borderId="14" xfId="0" applyFont="1" applyFill="1" applyBorder="1" applyAlignment="1" applyProtection="1">
      <alignment horizontal="left" vertical="center"/>
    </xf>
    <xf numFmtId="167" fontId="47" fillId="0" borderId="17" xfId="0" applyNumberFormat="1" applyFont="1" applyBorder="1" applyAlignment="1" applyProtection="1">
      <alignment horizontal="center" vertical="center"/>
    </xf>
    <xf numFmtId="0" fontId="44" fillId="0" borderId="0" xfId="0" applyFont="1" applyProtection="1"/>
    <xf numFmtId="0" fontId="51" fillId="33" borderId="24" xfId="14" applyNumberFormat="1" applyFont="1" applyFill="1" applyBorder="1" applyAlignment="1" applyProtection="1">
      <alignment horizontal="right" vertical="center"/>
    </xf>
    <xf numFmtId="0" fontId="0" fillId="0" borderId="0" xfId="0" applyFill="1" applyAlignment="1" applyProtection="1">
      <alignment vertical="center"/>
    </xf>
    <xf numFmtId="0" fontId="5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3" fillId="0" borderId="0" xfId="0" applyFont="1" applyAlignment="1"/>
    <xf numFmtId="0" fontId="43" fillId="0" borderId="0" xfId="0" applyFont="1" applyAlignment="1">
      <alignment horizontal="left"/>
    </xf>
    <xf numFmtId="1" fontId="51" fillId="33" borderId="14" xfId="0" applyNumberFormat="1" applyFont="1" applyFill="1" applyBorder="1" applyAlignment="1" applyProtection="1">
      <alignment vertical="center"/>
    </xf>
    <xf numFmtId="170" fontId="51" fillId="33" borderId="24" xfId="0" applyNumberFormat="1" applyFont="1" applyFill="1" applyBorder="1" applyAlignment="1" applyProtection="1">
      <alignment horizontal="right" vertical="center"/>
    </xf>
    <xf numFmtId="1" fontId="51" fillId="33" borderId="14" xfId="0" applyNumberFormat="1" applyFont="1" applyFill="1" applyBorder="1" applyAlignment="1" applyProtection="1">
      <alignment horizontal="left" vertical="center"/>
    </xf>
    <xf numFmtId="165" fontId="51" fillId="33" borderId="24" xfId="0" applyNumberFormat="1" applyFont="1" applyFill="1" applyBorder="1" applyAlignment="1" applyProtection="1">
      <alignment vertical="center"/>
    </xf>
    <xf numFmtId="0" fontId="46" fillId="0" borderId="0" xfId="0" applyFont="1" applyFill="1" applyBorder="1" applyAlignment="1" applyProtection="1">
      <alignment horizontal="right" vertical="center"/>
    </xf>
    <xf numFmtId="2" fontId="51" fillId="33" borderId="24" xfId="0" applyNumberFormat="1" applyFont="1" applyFill="1" applyBorder="1" applyAlignment="1" applyProtection="1">
      <alignment vertical="center"/>
    </xf>
    <xf numFmtId="1" fontId="51" fillId="33" borderId="24" xfId="0" applyNumberFormat="1" applyFont="1" applyFill="1" applyBorder="1" applyAlignment="1" applyProtection="1">
      <alignment horizontal="right" vertical="center"/>
    </xf>
    <xf numFmtId="0" fontId="47" fillId="0" borderId="17" xfId="0" applyNumberFormat="1" applyFont="1" applyBorder="1" applyAlignment="1" applyProtection="1">
      <alignment horizontal="center" vertical="center"/>
    </xf>
    <xf numFmtId="165" fontId="51" fillId="0" borderId="17" xfId="0" applyNumberFormat="1" applyFont="1" applyBorder="1" applyAlignment="1" applyProtection="1">
      <alignment horizontal="center" vertical="center"/>
    </xf>
    <xf numFmtId="165" fontId="51" fillId="33" borderId="24" xfId="0" applyNumberFormat="1" applyFont="1" applyFill="1" applyBorder="1" applyAlignment="1" applyProtection="1">
      <alignment horizontal="right" vertical="center"/>
    </xf>
    <xf numFmtId="0" fontId="60" fillId="0" borderId="0" xfId="0" applyFont="1" applyAlignment="1">
      <alignment horizontal="left"/>
    </xf>
    <xf numFmtId="165" fontId="57" fillId="0" borderId="0" xfId="0" applyNumberFormat="1" applyFont="1"/>
    <xf numFmtId="0" fontId="57" fillId="0" borderId="0" xfId="0" applyFont="1"/>
    <xf numFmtId="2" fontId="57" fillId="0" borderId="0" xfId="0" applyNumberFormat="1" applyFont="1"/>
    <xf numFmtId="9" fontId="57" fillId="0" borderId="0" xfId="0" applyNumberFormat="1" applyFont="1"/>
    <xf numFmtId="9" fontId="61" fillId="0" borderId="15" xfId="0" applyNumberFormat="1" applyFont="1" applyBorder="1" applyAlignment="1" applyProtection="1">
      <alignment horizontal="left" vertical="center"/>
    </xf>
    <xf numFmtId="9" fontId="61" fillId="0" borderId="0" xfId="0" applyNumberFormat="1" applyFont="1" applyBorder="1" applyAlignment="1" applyProtection="1">
      <alignment horizontal="left" vertical="center"/>
    </xf>
    <xf numFmtId="9" fontId="61" fillId="0" borderId="16" xfId="0" applyNumberFormat="1" applyFont="1" applyBorder="1" applyAlignment="1" applyProtection="1">
      <alignment horizontal="left" vertical="center"/>
    </xf>
    <xf numFmtId="1" fontId="48" fillId="0" borderId="0" xfId="47" applyNumberFormat="1" applyFont="1" applyFill="1" applyBorder="1" applyAlignment="1" applyProtection="1">
      <alignment horizontal="center" vertical="center"/>
    </xf>
    <xf numFmtId="0" fontId="51" fillId="33" borderId="24" xfId="0" applyNumberFormat="1" applyFont="1" applyFill="1" applyBorder="1" applyAlignment="1" applyProtection="1">
      <alignment horizontal="right" vertical="center"/>
    </xf>
    <xf numFmtId="0" fontId="48" fillId="0" borderId="0" xfId="47" applyNumberFormat="1" applyFont="1" applyFill="1" applyBorder="1" applyAlignment="1" applyProtection="1">
      <alignment vertical="center"/>
    </xf>
    <xf numFmtId="165" fontId="48" fillId="0" borderId="0" xfId="47" applyNumberFormat="1" applyFont="1" applyFill="1" applyBorder="1" applyAlignment="1" applyProtection="1">
      <alignment horizontal="center" vertical="center"/>
    </xf>
    <xf numFmtId="2" fontId="48" fillId="0" borderId="0" xfId="47" applyNumberFormat="1" applyFont="1" applyFill="1" applyBorder="1" applyAlignment="1" applyProtection="1">
      <alignment vertical="center"/>
    </xf>
    <xf numFmtId="0" fontId="48" fillId="0" borderId="0" xfId="47" applyFont="1" applyFill="1" applyBorder="1" applyAlignment="1" applyProtection="1">
      <alignment horizontal="center" vertical="center"/>
    </xf>
    <xf numFmtId="2" fontId="48" fillId="0" borderId="0" xfId="47" applyNumberFormat="1" applyFont="1" applyFill="1" applyBorder="1" applyAlignment="1" applyProtection="1">
      <alignment horizontal="center" vertical="center"/>
    </xf>
    <xf numFmtId="0" fontId="48" fillId="0" borderId="0" xfId="0" applyNumberFormat="1" applyFont="1" applyFill="1" applyBorder="1" applyAlignment="1" applyProtection="1">
      <alignment vertical="center"/>
    </xf>
    <xf numFmtId="0" fontId="48" fillId="0" borderId="0" xfId="0" applyFont="1" applyFill="1" applyBorder="1" applyProtection="1"/>
    <xf numFmtId="165" fontId="48" fillId="0" borderId="0" xfId="0" applyNumberFormat="1" applyFont="1" applyFill="1" applyBorder="1" applyAlignment="1" applyProtection="1">
      <alignment vertical="center"/>
    </xf>
    <xf numFmtId="0" fontId="48" fillId="0" borderId="0" xfId="0" applyFont="1" applyFill="1" applyBorder="1" applyAlignment="1" applyProtection="1">
      <alignment vertical="center"/>
    </xf>
    <xf numFmtId="170" fontId="48" fillId="0" borderId="0" xfId="0" applyNumberFormat="1" applyFont="1" applyFill="1" applyBorder="1" applyAlignment="1" applyProtection="1">
      <alignment vertical="center"/>
    </xf>
    <xf numFmtId="1" fontId="51" fillId="0" borderId="17" xfId="0" applyNumberFormat="1" applyFont="1" applyFill="1" applyBorder="1" applyAlignment="1" applyProtection="1">
      <alignment horizontal="center" vertical="center"/>
    </xf>
    <xf numFmtId="165" fontId="51" fillId="0" borderId="17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Alignment="1" applyProtection="1">
      <alignment vertical="center"/>
    </xf>
    <xf numFmtId="0" fontId="62" fillId="0" borderId="0" xfId="0" applyFont="1" applyFill="1" applyBorder="1" applyAlignment="1" applyProtection="1">
      <alignment vertical="center"/>
    </xf>
    <xf numFmtId="0" fontId="43" fillId="0" borderId="0" xfId="0" applyFont="1" applyFill="1" applyBorder="1" applyAlignment="1" applyProtection="1">
      <alignment vertical="center"/>
    </xf>
    <xf numFmtId="165" fontId="51" fillId="33" borderId="32" xfId="0" applyNumberFormat="1" applyFont="1" applyFill="1" applyBorder="1" applyAlignment="1" applyProtection="1">
      <alignment horizontal="center" vertical="center"/>
      <protection locked="0"/>
    </xf>
    <xf numFmtId="165" fontId="51" fillId="0" borderId="19" xfId="0" applyNumberFormat="1" applyFont="1" applyFill="1" applyBorder="1" applyAlignment="1" applyProtection="1">
      <alignment horizontal="center" vertical="center"/>
    </xf>
    <xf numFmtId="0" fontId="57" fillId="0" borderId="0" xfId="0" applyNumberFormat="1" applyFont="1"/>
    <xf numFmtId="167" fontId="47" fillId="0" borderId="17" xfId="30" applyNumberFormat="1" applyFont="1" applyFill="1" applyBorder="1" applyAlignment="1" applyProtection="1">
      <alignment horizontal="center" vertical="center"/>
    </xf>
    <xf numFmtId="167" fontId="63" fillId="0" borderId="17" xfId="30" applyNumberFormat="1" applyFont="1" applyFill="1" applyBorder="1" applyAlignment="1" applyProtection="1">
      <alignment horizontal="center" vertical="center"/>
    </xf>
    <xf numFmtId="0" fontId="41" fillId="0" borderId="0" xfId="0" applyFont="1" applyAlignment="1" applyProtection="1">
      <alignment horizontal="center" vertical="center"/>
    </xf>
    <xf numFmtId="2" fontId="51" fillId="33" borderId="33" xfId="0" applyNumberFormat="1" applyFont="1" applyFill="1" applyBorder="1" applyAlignment="1" applyProtection="1">
      <alignment horizontal="center" vertical="center"/>
    </xf>
    <xf numFmtId="0" fontId="45" fillId="0" borderId="0" xfId="45" applyFont="1" applyFill="1" applyBorder="1" applyAlignment="1" applyProtection="1">
      <alignment vertical="center"/>
    </xf>
    <xf numFmtId="0" fontId="52" fillId="34" borderId="34" xfId="47" applyFont="1" applyFill="1" applyBorder="1" applyAlignment="1" applyProtection="1">
      <alignment horizontal="right" vertical="center"/>
    </xf>
    <xf numFmtId="1" fontId="0" fillId="0" borderId="0" xfId="0" applyNumberFormat="1" applyAlignment="1" applyProtection="1">
      <alignment vertical="center"/>
    </xf>
    <xf numFmtId="2" fontId="61" fillId="0" borderId="15" xfId="0" applyNumberFormat="1" applyFont="1" applyBorder="1" applyAlignment="1" applyProtection="1">
      <alignment horizontal="left" vertical="center"/>
    </xf>
    <xf numFmtId="165" fontId="0" fillId="0" borderId="0" xfId="0" applyNumberFormat="1" applyFont="1" applyAlignment="1" applyProtection="1">
      <alignment vertical="center"/>
    </xf>
    <xf numFmtId="0" fontId="51" fillId="33" borderId="32" xfId="0" applyNumberFormat="1" applyFont="1" applyFill="1" applyBorder="1" applyAlignment="1" applyProtection="1">
      <alignment horizontal="center" vertical="center"/>
      <protection locked="0"/>
    </xf>
    <xf numFmtId="2" fontId="50" fillId="0" borderId="0" xfId="0" applyNumberFormat="1" applyFont="1" applyProtection="1"/>
    <xf numFmtId="165" fontId="61" fillId="0" borderId="0" xfId="14" applyNumberFormat="1" applyFont="1" applyFill="1" applyBorder="1" applyAlignment="1" applyProtection="1">
      <alignment horizontal="left" vertical="center"/>
    </xf>
    <xf numFmtId="165" fontId="61" fillId="0" borderId="16" xfId="14" applyNumberFormat="1" applyFont="1" applyFill="1" applyBorder="1" applyAlignment="1" applyProtection="1">
      <alignment horizontal="left" vertical="center"/>
    </xf>
    <xf numFmtId="9" fontId="0" fillId="0" borderId="0" xfId="0" applyNumberFormat="1" applyFont="1" applyAlignment="1" applyProtection="1">
      <alignment vertical="center"/>
    </xf>
    <xf numFmtId="1" fontId="64" fillId="0" borderId="17" xfId="0" applyNumberFormat="1" applyFont="1" applyBorder="1" applyAlignment="1" applyProtection="1">
      <alignment horizontal="center" vertical="center"/>
    </xf>
    <xf numFmtId="170" fontId="50" fillId="0" borderId="14" xfId="0" applyNumberFormat="1" applyFont="1" applyBorder="1" applyAlignment="1" applyProtection="1">
      <alignment horizontal="center" vertical="center"/>
    </xf>
    <xf numFmtId="0" fontId="61" fillId="0" borderId="0" xfId="14" applyNumberFormat="1" applyFont="1" applyFill="1" applyBorder="1" applyAlignment="1" applyProtection="1">
      <alignment horizontal="left" vertical="center"/>
    </xf>
    <xf numFmtId="0" fontId="61" fillId="0" borderId="16" xfId="14" applyNumberFormat="1" applyFont="1" applyFill="1" applyBorder="1" applyAlignment="1" applyProtection="1">
      <alignment horizontal="left" vertical="center"/>
    </xf>
    <xf numFmtId="165" fontId="53" fillId="0" borderId="14" xfId="47" applyNumberFormat="1" applyFont="1" applyFill="1" applyBorder="1" applyAlignment="1" applyProtection="1">
      <alignment horizontal="center" vertical="center"/>
    </xf>
    <xf numFmtId="0" fontId="52" fillId="34" borderId="35" xfId="42" applyFont="1" applyFill="1" applyBorder="1" applyAlignment="1" applyProtection="1">
      <alignment horizontal="center" vertical="center"/>
    </xf>
    <xf numFmtId="0" fontId="48" fillId="0" borderId="0" xfId="47" applyNumberFormat="1" applyFont="1" applyFill="1" applyBorder="1" applyAlignment="1" applyProtection="1">
      <alignment horizontal="right" vertical="center"/>
    </xf>
    <xf numFmtId="0" fontId="48" fillId="0" borderId="0" xfId="47" applyNumberFormat="1" applyFont="1" applyFill="1" applyBorder="1" applyAlignment="1" applyProtection="1">
      <alignment horizontal="left" vertical="center"/>
    </xf>
    <xf numFmtId="165" fontId="48" fillId="0" borderId="0" xfId="47" applyNumberFormat="1" applyFont="1" applyFill="1" applyBorder="1" applyAlignment="1" applyProtection="1">
      <alignment vertical="center"/>
    </xf>
    <xf numFmtId="0" fontId="46" fillId="0" borderId="0" xfId="42" applyFont="1" applyFill="1" applyBorder="1" applyAlignment="1" applyProtection="1">
      <alignment horizontal="right" vertical="center"/>
    </xf>
    <xf numFmtId="0" fontId="65" fillId="0" borderId="0" xfId="42" applyFont="1" applyFill="1" applyBorder="1" applyAlignment="1" applyProtection="1">
      <alignment horizontal="right" vertical="center"/>
    </xf>
    <xf numFmtId="165" fontId="66" fillId="0" borderId="0" xfId="30" applyNumberFormat="1" applyFont="1" applyFill="1" applyBorder="1" applyAlignment="1" applyProtection="1">
      <alignment horizontal="right" vertical="center"/>
    </xf>
    <xf numFmtId="170" fontId="66" fillId="0" borderId="0" xfId="30" applyNumberFormat="1" applyFont="1" applyFill="1" applyBorder="1" applyAlignment="1" applyProtection="1">
      <alignment horizontal="left" vertical="center"/>
    </xf>
    <xf numFmtId="2" fontId="47" fillId="0" borderId="19" xfId="0" applyNumberFormat="1" applyFont="1" applyBorder="1" applyAlignment="1" applyProtection="1">
      <alignment horizontal="right" vertical="center"/>
    </xf>
    <xf numFmtId="1" fontId="47" fillId="0" borderId="0" xfId="30" applyNumberFormat="1" applyFont="1" applyFill="1" applyBorder="1" applyAlignment="1" applyProtection="1">
      <alignment horizontal="center" vertical="center"/>
    </xf>
    <xf numFmtId="1" fontId="57" fillId="0" borderId="0" xfId="0" applyNumberFormat="1" applyFont="1"/>
    <xf numFmtId="1" fontId="53" fillId="0" borderId="17" xfId="47" applyNumberFormat="1" applyFont="1" applyFill="1" applyBorder="1" applyAlignment="1" applyProtection="1">
      <alignment horizontal="center" vertical="center"/>
    </xf>
    <xf numFmtId="2" fontId="47" fillId="33" borderId="14" xfId="47" applyNumberFormat="1" applyFont="1" applyFill="1" applyBorder="1" applyAlignment="1" applyProtection="1">
      <alignment horizontal="left" vertical="center"/>
    </xf>
    <xf numFmtId="2" fontId="47" fillId="33" borderId="24" xfId="47" applyNumberFormat="1" applyFont="1" applyFill="1" applyBorder="1" applyAlignment="1" applyProtection="1">
      <alignment horizontal="right" vertical="center"/>
    </xf>
    <xf numFmtId="1" fontId="48" fillId="0" borderId="17" xfId="0" applyNumberFormat="1" applyFont="1" applyFill="1" applyBorder="1" applyAlignment="1" applyProtection="1">
      <alignment horizontal="center"/>
    </xf>
    <xf numFmtId="1" fontId="50" fillId="0" borderId="17" xfId="0" applyNumberFormat="1" applyFont="1" applyFill="1" applyBorder="1" applyAlignment="1" applyProtection="1">
      <alignment horizontal="center"/>
    </xf>
    <xf numFmtId="167" fontId="50" fillId="0" borderId="17" xfId="0" applyNumberFormat="1" applyFont="1" applyFill="1" applyBorder="1" applyAlignment="1" applyProtection="1">
      <alignment horizontal="center"/>
    </xf>
    <xf numFmtId="0" fontId="50" fillId="0" borderId="17" xfId="0" applyFont="1" applyFill="1" applyBorder="1" applyAlignment="1" applyProtection="1">
      <alignment horizontal="center"/>
    </xf>
    <xf numFmtId="0" fontId="48" fillId="0" borderId="17" xfId="0" applyFont="1" applyFill="1" applyBorder="1" applyAlignment="1" applyProtection="1">
      <alignment horizontal="center"/>
    </xf>
    <xf numFmtId="2" fontId="50" fillId="0" borderId="0" xfId="0" applyNumberFormat="1" applyFont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</xf>
    <xf numFmtId="0" fontId="0" fillId="0" borderId="31" xfId="0" applyNumberFormat="1" applyBorder="1" applyAlignment="1" applyProtection="1">
      <alignment vertical="center"/>
    </xf>
    <xf numFmtId="0" fontId="0" fillId="0" borderId="22" xfId="0" applyNumberForma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0" fontId="0" fillId="0" borderId="23" xfId="0" applyBorder="1" applyAlignment="1" applyProtection="1">
      <alignment vertical="center"/>
    </xf>
    <xf numFmtId="0" fontId="57" fillId="0" borderId="0" xfId="0" applyNumberFormat="1" applyFont="1" applyAlignment="1" applyProtection="1">
      <alignment horizontal="right" vertical="center"/>
    </xf>
    <xf numFmtId="0" fontId="0" fillId="0" borderId="0" xfId="0" applyFont="1" applyBorder="1" applyAlignment="1" applyProtection="1">
      <alignment vertical="center"/>
    </xf>
    <xf numFmtId="0" fontId="0" fillId="0" borderId="36" xfId="0" applyFont="1" applyBorder="1" applyAlignment="1" applyProtection="1">
      <alignment vertical="center"/>
    </xf>
    <xf numFmtId="0" fontId="0" fillId="0" borderId="36" xfId="0" applyBorder="1" applyAlignment="1" applyProtection="1">
      <alignment vertical="center"/>
    </xf>
    <xf numFmtId="165" fontId="61" fillId="0" borderId="15" xfId="0" applyNumberFormat="1" applyFont="1" applyFill="1" applyBorder="1" applyAlignment="1" applyProtection="1">
      <alignment horizontal="left" vertical="center"/>
    </xf>
    <xf numFmtId="1" fontId="69" fillId="0" borderId="31" xfId="42" applyNumberFormat="1" applyFont="1" applyFill="1" applyBorder="1" applyAlignment="1" applyProtection="1">
      <alignment horizontal="right" vertical="center"/>
    </xf>
    <xf numFmtId="1" fontId="69" fillId="0" borderId="22" xfId="42" applyNumberFormat="1" applyFont="1" applyFill="1" applyBorder="1" applyAlignment="1" applyProtection="1">
      <alignment horizontal="right" vertical="center"/>
    </xf>
    <xf numFmtId="0" fontId="46" fillId="0" borderId="31" xfId="11" applyFont="1" applyFill="1" applyBorder="1" applyAlignment="1" applyProtection="1">
      <alignment horizontal="right" vertical="center"/>
    </xf>
    <xf numFmtId="0" fontId="46" fillId="0" borderId="22" xfId="11" applyFont="1" applyFill="1" applyBorder="1" applyAlignment="1" applyProtection="1">
      <alignment horizontal="right" vertical="center"/>
    </xf>
    <xf numFmtId="0" fontId="10" fillId="0" borderId="22" xfId="42" applyFont="1" applyFill="1" applyBorder="1" applyAlignment="1" applyProtection="1">
      <alignment vertical="center"/>
    </xf>
    <xf numFmtId="0" fontId="46" fillId="0" borderId="31" xfId="42" applyFont="1" applyFill="1" applyBorder="1" applyAlignment="1" applyProtection="1">
      <alignment horizontal="right" vertical="center"/>
    </xf>
    <xf numFmtId="0" fontId="46" fillId="0" borderId="22" xfId="42" applyFont="1" applyFill="1" applyBorder="1" applyAlignment="1" applyProtection="1">
      <alignment vertical="center"/>
    </xf>
    <xf numFmtId="0" fontId="70" fillId="0" borderId="22" xfId="0" applyFont="1" applyFill="1" applyBorder="1" applyAlignment="1" applyProtection="1">
      <alignment vertical="center"/>
    </xf>
    <xf numFmtId="0" fontId="70" fillId="0" borderId="31" xfId="0" applyFont="1" applyFill="1" applyBorder="1" applyAlignment="1" applyProtection="1">
      <alignment vertical="center"/>
    </xf>
    <xf numFmtId="0" fontId="46" fillId="0" borderId="31" xfId="0" applyFont="1" applyFill="1" applyBorder="1" applyAlignment="1" applyProtection="1">
      <alignment vertical="center"/>
    </xf>
    <xf numFmtId="165" fontId="69" fillId="0" borderId="22" xfId="42" applyNumberFormat="1" applyFont="1" applyFill="1" applyBorder="1" applyAlignment="1" applyProtection="1">
      <alignment horizontal="right" vertical="center"/>
    </xf>
    <xf numFmtId="9" fontId="61" fillId="0" borderId="22" xfId="11" applyNumberFormat="1" applyFont="1" applyFill="1" applyBorder="1" applyAlignment="1" applyProtection="1">
      <alignment horizontal="right" vertical="center"/>
    </xf>
    <xf numFmtId="165" fontId="69" fillId="0" borderId="31" xfId="42" applyNumberFormat="1" applyFont="1" applyFill="1" applyBorder="1" applyAlignment="1" applyProtection="1">
      <alignment horizontal="right" vertical="center"/>
    </xf>
    <xf numFmtId="9" fontId="61" fillId="0" borderId="31" xfId="11" applyNumberFormat="1" applyFont="1" applyFill="1" applyBorder="1" applyAlignment="1" applyProtection="1">
      <alignment horizontal="right" vertical="center"/>
    </xf>
    <xf numFmtId="0" fontId="10" fillId="35" borderId="23" xfId="51" applyFont="1" applyFill="1" applyBorder="1" applyAlignment="1" applyProtection="1">
      <alignment horizontal="center" vertical="center"/>
    </xf>
    <xf numFmtId="0" fontId="10" fillId="35" borderId="31" xfId="51" applyFont="1" applyFill="1" applyBorder="1" applyAlignment="1" applyProtection="1">
      <alignment horizontal="center" vertical="center"/>
    </xf>
    <xf numFmtId="167" fontId="63" fillId="0" borderId="37" xfId="30" applyNumberFormat="1" applyFont="1" applyFill="1" applyBorder="1" applyAlignment="1" applyProtection="1">
      <alignment horizontal="center" vertical="center"/>
    </xf>
    <xf numFmtId="165" fontId="63" fillId="0" borderId="0" xfId="30" applyNumberFormat="1" applyFont="1" applyFill="1" applyBorder="1" applyAlignment="1" applyProtection="1">
      <alignment horizontal="center" vertical="center"/>
    </xf>
    <xf numFmtId="1" fontId="57" fillId="33" borderId="0" xfId="11" applyNumberFormat="1" applyFont="1" applyFill="1" applyBorder="1" applyAlignment="1" applyProtection="1">
      <alignment horizontal="center" vertical="center"/>
    </xf>
    <xf numFmtId="0" fontId="58" fillId="0" borderId="38" xfId="0" applyFont="1" applyBorder="1" applyAlignment="1" applyProtection="1">
      <alignment horizontal="center" vertical="center"/>
      <protection locked="0"/>
    </xf>
    <xf numFmtId="3" fontId="58" fillId="33" borderId="37" xfId="14" applyNumberFormat="1" applyFont="1" applyFill="1" applyBorder="1" applyAlignment="1" applyProtection="1">
      <alignment horizontal="right" vertical="center"/>
      <protection locked="0"/>
    </xf>
    <xf numFmtId="0" fontId="58" fillId="33" borderId="37" xfId="14" applyFont="1" applyFill="1" applyBorder="1" applyAlignment="1" applyProtection="1">
      <alignment horizontal="left" vertical="center"/>
    </xf>
    <xf numFmtId="171" fontId="58" fillId="33" borderId="38" xfId="14" applyNumberFormat="1" applyFont="1" applyFill="1" applyBorder="1" applyAlignment="1" applyProtection="1">
      <alignment horizontal="right" vertical="center"/>
      <protection locked="0"/>
    </xf>
    <xf numFmtId="0" fontId="58" fillId="33" borderId="38" xfId="14" applyFont="1" applyFill="1" applyBorder="1" applyAlignment="1" applyProtection="1">
      <alignment horizontal="left" vertical="center"/>
    </xf>
    <xf numFmtId="3" fontId="58" fillId="33" borderId="38" xfId="14" applyNumberFormat="1" applyFont="1" applyFill="1" applyBorder="1" applyAlignment="1" applyProtection="1">
      <alignment horizontal="right" vertical="center"/>
      <protection locked="0"/>
    </xf>
    <xf numFmtId="1" fontId="58" fillId="33" borderId="38" xfId="14" applyNumberFormat="1" applyFont="1" applyFill="1" applyBorder="1" applyAlignment="1" applyProtection="1">
      <alignment horizontal="right" vertical="center"/>
      <protection locked="0"/>
    </xf>
    <xf numFmtId="165" fontId="58" fillId="33" borderId="38" xfId="14" applyNumberFormat="1" applyFont="1" applyFill="1" applyBorder="1" applyAlignment="1" applyProtection="1">
      <alignment horizontal="right" vertical="center"/>
      <protection locked="0"/>
    </xf>
    <xf numFmtId="164" fontId="58" fillId="33" borderId="38" xfId="14" applyNumberFormat="1" applyFont="1" applyFill="1" applyBorder="1" applyAlignment="1" applyProtection="1">
      <alignment horizontal="right" vertical="center"/>
      <protection locked="0"/>
    </xf>
    <xf numFmtId="164" fontId="58" fillId="33" borderId="38" xfId="14" applyNumberFormat="1" applyFont="1" applyFill="1" applyBorder="1" applyAlignment="1" applyProtection="1">
      <alignment horizontal="left" vertical="center"/>
    </xf>
    <xf numFmtId="165" fontId="58" fillId="33" borderId="38" xfId="47" applyNumberFormat="1" applyFont="1" applyFill="1" applyBorder="1" applyAlignment="1" applyProtection="1">
      <alignment horizontal="right" vertical="center"/>
      <protection locked="0"/>
    </xf>
    <xf numFmtId="0" fontId="58" fillId="33" borderId="38" xfId="0" applyFont="1" applyFill="1" applyBorder="1" applyAlignment="1" applyProtection="1">
      <alignment horizontal="left" vertical="center"/>
    </xf>
    <xf numFmtId="9" fontId="58" fillId="0" borderId="38" xfId="0" applyNumberFormat="1" applyFont="1" applyBorder="1" applyAlignment="1" applyProtection="1">
      <alignment horizontal="center" vertical="center"/>
      <protection locked="0"/>
    </xf>
    <xf numFmtId="1" fontId="58" fillId="33" borderId="39" xfId="7" applyNumberFormat="1" applyFont="1" applyFill="1" applyBorder="1" applyAlignment="1" applyProtection="1">
      <alignment horizontal="center" vertical="center"/>
      <protection locked="0"/>
    </xf>
    <xf numFmtId="1" fontId="58" fillId="33" borderId="40" xfId="7" applyNumberFormat="1" applyFont="1" applyFill="1" applyBorder="1" applyAlignment="1" applyProtection="1">
      <alignment horizontal="center" vertical="center"/>
      <protection locked="0"/>
    </xf>
    <xf numFmtId="2" fontId="57" fillId="0" borderId="0" xfId="11" applyNumberFormat="1" applyFont="1" applyFill="1" applyBorder="1" applyAlignment="1" applyProtection="1">
      <alignment horizontal="right" vertical="center"/>
    </xf>
    <xf numFmtId="0" fontId="57" fillId="0" borderId="0" xfId="11" applyNumberFormat="1" applyFont="1" applyFill="1" applyBorder="1" applyAlignment="1" applyProtection="1">
      <alignment horizontal="right" vertical="center"/>
    </xf>
    <xf numFmtId="0" fontId="37" fillId="0" borderId="0" xfId="45" applyFont="1" applyFill="1" applyBorder="1" applyAlignment="1" applyProtection="1">
      <alignment horizontal="center" vertical="center"/>
    </xf>
    <xf numFmtId="1" fontId="58" fillId="0" borderId="0" xfId="53" applyNumberFormat="1" applyFont="1" applyFill="1" applyBorder="1" applyAlignment="1" applyProtection="1">
      <alignment vertical="center"/>
    </xf>
    <xf numFmtId="165" fontId="57" fillId="0" borderId="0" xfId="11" applyNumberFormat="1" applyFont="1" applyFill="1" applyBorder="1" applyAlignment="1" applyProtection="1">
      <alignment horizontal="right" vertical="center"/>
    </xf>
    <xf numFmtId="0" fontId="57" fillId="0" borderId="0" xfId="11" applyFont="1" applyFill="1" applyBorder="1" applyAlignment="1" applyProtection="1">
      <alignment horizontal="left" vertical="center"/>
    </xf>
    <xf numFmtId="171" fontId="57" fillId="0" borderId="20" xfId="11" applyNumberFormat="1" applyFont="1" applyFill="1" applyBorder="1" applyAlignment="1" applyProtection="1">
      <alignment horizontal="right" vertical="center"/>
    </xf>
    <xf numFmtId="165" fontId="57" fillId="0" borderId="20" xfId="11" applyNumberFormat="1" applyFont="1" applyFill="1" applyBorder="1" applyAlignment="1" applyProtection="1">
      <alignment horizontal="right" vertical="center"/>
    </xf>
    <xf numFmtId="171" fontId="57" fillId="0" borderId="0" xfId="11" applyNumberFormat="1" applyFont="1" applyFill="1" applyBorder="1" applyAlignment="1" applyProtection="1">
      <alignment horizontal="right" vertical="center"/>
    </xf>
    <xf numFmtId="9" fontId="57" fillId="0" borderId="0" xfId="11" applyNumberFormat="1" applyFont="1" applyFill="1" applyBorder="1" applyAlignment="1" applyProtection="1">
      <alignment horizontal="right" vertical="center"/>
    </xf>
    <xf numFmtId="9" fontId="57" fillId="0" borderId="20" xfId="11" applyNumberFormat="1" applyFont="1" applyFill="1" applyBorder="1" applyAlignment="1" applyProtection="1">
      <alignment horizontal="right" vertical="center"/>
    </xf>
    <xf numFmtId="0" fontId="71" fillId="0" borderId="0" xfId="47" applyFont="1" applyFill="1" applyBorder="1" applyAlignment="1" applyProtection="1">
      <alignment vertical="center"/>
    </xf>
    <xf numFmtId="13" fontId="72" fillId="0" borderId="41" xfId="53" applyNumberFormat="1" applyFont="1" applyFill="1" applyBorder="1" applyAlignment="1" applyProtection="1">
      <alignment horizontal="right" vertical="center"/>
      <protection locked="0"/>
    </xf>
    <xf numFmtId="0" fontId="74" fillId="0" borderId="0" xfId="0" applyFont="1" applyAlignment="1" applyProtection="1">
      <alignment vertical="center"/>
    </xf>
    <xf numFmtId="172" fontId="58" fillId="33" borderId="38" xfId="14" applyNumberFormat="1" applyFont="1" applyFill="1" applyBorder="1" applyAlignment="1" applyProtection="1">
      <alignment horizontal="center" vertical="center"/>
      <protection locked="0"/>
    </xf>
    <xf numFmtId="0" fontId="67" fillId="0" borderId="0" xfId="0" applyFont="1" applyBorder="1" applyAlignment="1" applyProtection="1">
      <alignment horizontal="left"/>
    </xf>
    <xf numFmtId="0" fontId="67" fillId="0" borderId="0" xfId="0" applyFont="1" applyBorder="1" applyAlignment="1" applyProtection="1">
      <alignment horizontal="right"/>
    </xf>
    <xf numFmtId="0" fontId="0" fillId="0" borderId="0" xfId="0" applyAlignment="1" applyProtection="1">
      <alignment horizontal="right"/>
    </xf>
    <xf numFmtId="0" fontId="69" fillId="0" borderId="0" xfId="0" applyFont="1" applyAlignment="1" applyProtection="1">
      <alignment vertical="center"/>
    </xf>
    <xf numFmtId="0" fontId="50" fillId="0" borderId="47" xfId="0" applyFont="1" applyBorder="1" applyProtection="1"/>
    <xf numFmtId="0" fontId="48" fillId="0" borderId="48" xfId="53" applyFont="1" applyFill="1" applyBorder="1" applyAlignment="1" applyProtection="1">
      <alignment vertical="center"/>
    </xf>
    <xf numFmtId="0" fontId="48" fillId="0" borderId="49" xfId="53" applyFont="1" applyFill="1" applyBorder="1" applyAlignment="1" applyProtection="1">
      <alignment vertical="center"/>
      <protection locked="0"/>
    </xf>
    <xf numFmtId="167" fontId="50" fillId="0" borderId="48" xfId="0" applyNumberFormat="1" applyFont="1" applyBorder="1" applyAlignment="1" applyProtection="1">
      <alignment horizontal="right" vertical="center" wrapText="1"/>
    </xf>
    <xf numFmtId="1" fontId="50" fillId="0" borderId="50" xfId="0" applyNumberFormat="1" applyFont="1" applyBorder="1" applyAlignment="1" applyProtection="1">
      <alignment horizontal="right" vertical="center" wrapText="1"/>
      <protection locked="0"/>
    </xf>
    <xf numFmtId="170" fontId="50" fillId="0" borderId="48" xfId="0" applyNumberFormat="1" applyFont="1" applyBorder="1" applyAlignment="1" applyProtection="1">
      <alignment horizontal="right" vertical="center" wrapText="1"/>
    </xf>
    <xf numFmtId="170" fontId="50" fillId="0" borderId="51" xfId="0" applyNumberFormat="1" applyFont="1" applyBorder="1" applyAlignment="1" applyProtection="1">
      <alignment horizontal="right" vertical="center" wrapText="1"/>
    </xf>
    <xf numFmtId="170" fontId="50" fillId="0" borderId="31" xfId="0" applyNumberFormat="1" applyFont="1" applyBorder="1" applyAlignment="1" applyProtection="1">
      <alignment horizontal="right" vertical="center" wrapText="1"/>
    </xf>
    <xf numFmtId="0" fontId="50" fillId="0" borderId="31" xfId="0" applyNumberFormat="1" applyFont="1" applyBorder="1" applyAlignment="1" applyProtection="1">
      <alignment horizontal="right" vertical="center" wrapText="1"/>
    </xf>
    <xf numFmtId="170" fontId="48" fillId="0" borderId="17" xfId="0" applyNumberFormat="1" applyFont="1" applyBorder="1" applyAlignment="1" applyProtection="1">
      <alignment horizontal="right"/>
    </xf>
    <xf numFmtId="0" fontId="50" fillId="0" borderId="14" xfId="0" applyFont="1" applyBorder="1" applyProtection="1"/>
    <xf numFmtId="0" fontId="48" fillId="0" borderId="17" xfId="0" applyFont="1" applyBorder="1" applyAlignment="1" applyProtection="1">
      <alignment vertical="center"/>
    </xf>
    <xf numFmtId="0" fontId="48" fillId="0" borderId="52" xfId="0" applyFont="1" applyBorder="1" applyAlignment="1" applyProtection="1">
      <alignment vertical="center"/>
      <protection locked="0"/>
    </xf>
    <xf numFmtId="1" fontId="50" fillId="0" borderId="52" xfId="0" applyNumberFormat="1" applyFont="1" applyBorder="1" applyAlignment="1" applyProtection="1">
      <alignment horizontal="right" vertical="center" wrapText="1"/>
      <protection locked="0"/>
    </xf>
    <xf numFmtId="0" fontId="48" fillId="0" borderId="17" xfId="0" applyFont="1" applyBorder="1" applyAlignment="1" applyProtection="1"/>
    <xf numFmtId="0" fontId="48" fillId="0" borderId="52" xfId="0" applyFont="1" applyBorder="1" applyAlignment="1" applyProtection="1">
      <protection locked="0"/>
    </xf>
    <xf numFmtId="3" fontId="51" fillId="33" borderId="37" xfId="14" applyNumberFormat="1" applyFont="1" applyFill="1" applyBorder="1" applyAlignment="1" applyProtection="1">
      <alignment horizontal="right" vertical="center"/>
      <protection locked="0"/>
    </xf>
    <xf numFmtId="0" fontId="51" fillId="33" borderId="37" xfId="14" applyFont="1" applyFill="1" applyBorder="1" applyAlignment="1" applyProtection="1">
      <alignment horizontal="left" vertical="center"/>
    </xf>
    <xf numFmtId="171" fontId="51" fillId="33" borderId="38" xfId="14" applyNumberFormat="1" applyFont="1" applyFill="1" applyBorder="1" applyAlignment="1" applyProtection="1">
      <alignment horizontal="right" vertical="center"/>
      <protection locked="0"/>
    </xf>
    <xf numFmtId="0" fontId="51" fillId="33" borderId="38" xfId="14" applyFont="1" applyFill="1" applyBorder="1" applyAlignment="1" applyProtection="1">
      <alignment horizontal="left" vertical="center"/>
    </xf>
    <xf numFmtId="3" fontId="51" fillId="33" borderId="38" xfId="14" applyNumberFormat="1" applyFont="1" applyFill="1" applyBorder="1" applyAlignment="1" applyProtection="1">
      <alignment horizontal="right" vertical="center"/>
      <protection locked="0"/>
    </xf>
    <xf numFmtId="0" fontId="48" fillId="0" borderId="17" xfId="53" applyFont="1" applyFill="1" applyBorder="1" applyAlignment="1" applyProtection="1">
      <alignment vertical="center"/>
    </xf>
    <xf numFmtId="0" fontId="48" fillId="0" borderId="52" xfId="53" applyFont="1" applyFill="1" applyBorder="1" applyAlignment="1" applyProtection="1">
      <alignment vertical="center"/>
      <protection locked="0"/>
    </xf>
    <xf numFmtId="0" fontId="48" fillId="0" borderId="17" xfId="53" applyFont="1" applyFill="1" applyBorder="1" applyAlignment="1" applyProtection="1"/>
    <xf numFmtId="0" fontId="48" fillId="0" borderId="52" xfId="53" applyFont="1" applyFill="1" applyBorder="1" applyAlignment="1" applyProtection="1">
      <protection locked="0"/>
    </xf>
    <xf numFmtId="1" fontId="48" fillId="0" borderId="52" xfId="0" applyNumberFormat="1" applyFont="1" applyBorder="1" applyAlignment="1" applyProtection="1">
      <alignment horizontal="right" vertical="center" wrapText="1"/>
      <protection locked="0"/>
    </xf>
    <xf numFmtId="0" fontId="50" fillId="0" borderId="21" xfId="0" applyFont="1" applyBorder="1" applyProtection="1"/>
    <xf numFmtId="0" fontId="48" fillId="0" borderId="53" xfId="53" applyFont="1" applyFill="1" applyBorder="1" applyAlignment="1" applyProtection="1">
      <alignment vertical="center"/>
    </xf>
    <xf numFmtId="0" fontId="48" fillId="0" borderId="54" xfId="53" applyFont="1" applyFill="1" applyBorder="1" applyAlignment="1" applyProtection="1">
      <alignment vertical="center"/>
      <protection locked="0"/>
    </xf>
    <xf numFmtId="1" fontId="50" fillId="0" borderId="54" xfId="0" applyNumberFormat="1" applyFont="1" applyBorder="1" applyAlignment="1" applyProtection="1">
      <alignment horizontal="right" vertical="center" wrapText="1"/>
      <protection locked="0"/>
    </xf>
    <xf numFmtId="0" fontId="52" fillId="34" borderId="55" xfId="0" applyFont="1" applyFill="1" applyBorder="1" applyProtection="1"/>
    <xf numFmtId="0" fontId="52" fillId="34" borderId="56" xfId="0" applyFont="1" applyFill="1" applyBorder="1" applyAlignment="1" applyProtection="1"/>
    <xf numFmtId="0" fontId="52" fillId="34" borderId="57" xfId="0" applyFont="1" applyFill="1" applyBorder="1" applyAlignment="1" applyProtection="1">
      <alignment horizontal="left"/>
    </xf>
    <xf numFmtId="0" fontId="52" fillId="34" borderId="56" xfId="0" applyFont="1" applyFill="1" applyBorder="1" applyAlignment="1" applyProtection="1">
      <alignment horizontal="left"/>
    </xf>
    <xf numFmtId="0" fontId="52" fillId="34" borderId="58" xfId="0" applyFont="1" applyFill="1" applyBorder="1" applyAlignment="1" applyProtection="1">
      <alignment horizontal="left"/>
    </xf>
    <xf numFmtId="0" fontId="52" fillId="34" borderId="59" xfId="0" applyNumberFormat="1" applyFont="1" applyFill="1" applyBorder="1" applyAlignment="1" applyProtection="1">
      <alignment horizontal="left"/>
    </xf>
    <xf numFmtId="0" fontId="52" fillId="34" borderId="57" xfId="0" applyNumberFormat="1" applyFont="1" applyFill="1" applyBorder="1" applyAlignment="1" applyProtection="1">
      <alignment horizontal="left"/>
    </xf>
    <xf numFmtId="170" fontId="48" fillId="0" borderId="0" xfId="0" applyNumberFormat="1" applyFont="1" applyBorder="1" applyAlignment="1" applyProtection="1">
      <alignment horizontal="right"/>
    </xf>
    <xf numFmtId="2" fontId="58" fillId="0" borderId="61" xfId="0" applyNumberFormat="1" applyFont="1" applyBorder="1" applyAlignment="1" applyProtection="1">
      <alignment horizontal="right" vertical="center"/>
      <protection locked="0"/>
    </xf>
    <xf numFmtId="1" fontId="58" fillId="0" borderId="38" xfId="0" applyNumberFormat="1" applyFont="1" applyBorder="1" applyAlignment="1" applyProtection="1">
      <alignment horizontal="center" vertical="center"/>
      <protection locked="0"/>
    </xf>
    <xf numFmtId="165" fontId="51" fillId="33" borderId="14" xfId="0" applyNumberFormat="1" applyFont="1" applyFill="1" applyBorder="1" applyAlignment="1" applyProtection="1">
      <alignment horizontal="left" vertical="center"/>
    </xf>
    <xf numFmtId="0" fontId="52" fillId="34" borderId="62" xfId="0" applyFont="1" applyFill="1" applyBorder="1" applyAlignment="1" applyProtection="1">
      <alignment horizontal="left" vertical="center"/>
    </xf>
    <xf numFmtId="0" fontId="52" fillId="34" borderId="63" xfId="0" applyFont="1" applyFill="1" applyBorder="1" applyAlignment="1" applyProtection="1">
      <alignment horizontal="left" vertical="center"/>
    </xf>
    <xf numFmtId="0" fontId="51" fillId="0" borderId="24" xfId="0" applyNumberFormat="1" applyFont="1" applyFill="1" applyBorder="1" applyAlignment="1" applyProtection="1">
      <alignment horizontal="right" vertical="center"/>
    </xf>
    <xf numFmtId="1" fontId="77" fillId="33" borderId="24" xfId="0" applyNumberFormat="1" applyFont="1" applyFill="1" applyBorder="1" applyAlignment="1" applyProtection="1">
      <alignment vertical="center"/>
    </xf>
    <xf numFmtId="10" fontId="77" fillId="33" borderId="18" xfId="0" applyNumberFormat="1" applyFont="1" applyFill="1" applyBorder="1" applyAlignment="1" applyProtection="1">
      <alignment horizontal="left" vertical="center"/>
    </xf>
    <xf numFmtId="0" fontId="43" fillId="33" borderId="0" xfId="0" applyFont="1" applyFill="1" applyBorder="1" applyAlignment="1" applyProtection="1">
      <alignment vertical="center"/>
    </xf>
    <xf numFmtId="0" fontId="43" fillId="33" borderId="16" xfId="0" applyFont="1" applyFill="1" applyBorder="1" applyAlignment="1" applyProtection="1">
      <alignment vertical="center"/>
    </xf>
    <xf numFmtId="0" fontId="0" fillId="0" borderId="0" xfId="0"/>
    <xf numFmtId="0" fontId="51" fillId="0" borderId="24" xfId="0" applyNumberFormat="1" applyFont="1" applyFill="1" applyBorder="1" applyAlignment="1" applyProtection="1">
      <alignment horizontal="center" vertical="center"/>
    </xf>
    <xf numFmtId="0" fontId="51" fillId="0" borderId="17" xfId="0" applyNumberFormat="1" applyFont="1" applyFill="1" applyBorder="1" applyAlignment="1" applyProtection="1">
      <alignment horizontal="center" vertical="center"/>
    </xf>
    <xf numFmtId="9" fontId="57" fillId="0" borderId="0" xfId="0" applyNumberFormat="1" applyFont="1" applyAlignment="1" applyProtection="1">
      <alignment horizontal="center"/>
    </xf>
    <xf numFmtId="0" fontId="57" fillId="0" borderId="0" xfId="0" applyNumberFormat="1" applyFont="1" applyAlignment="1" applyProtection="1">
      <alignment horizontal="center"/>
    </xf>
    <xf numFmtId="9" fontId="51" fillId="0" borderId="32" xfId="0" applyNumberFormat="1" applyFont="1" applyBorder="1" applyAlignment="1" applyProtection="1">
      <alignment horizontal="center" vertical="center"/>
    </xf>
    <xf numFmtId="1" fontId="51" fillId="0" borderId="24" xfId="0" applyNumberFormat="1" applyFont="1" applyBorder="1" applyAlignment="1" applyProtection="1">
      <alignment horizontal="right" vertical="center"/>
    </xf>
    <xf numFmtId="1" fontId="51" fillId="0" borderId="14" xfId="0" applyNumberFormat="1" applyFont="1" applyBorder="1" applyAlignment="1" applyProtection="1">
      <alignment horizontal="left" vertical="center"/>
    </xf>
    <xf numFmtId="1" fontId="51" fillId="0" borderId="17" xfId="0" applyNumberFormat="1" applyFont="1" applyBorder="1" applyAlignment="1" applyProtection="1">
      <alignment vertical="center"/>
    </xf>
    <xf numFmtId="2" fontId="51" fillId="0" borderId="17" xfId="0" applyNumberFormat="1" applyFont="1" applyBorder="1" applyAlignment="1" applyProtection="1">
      <alignment vertical="center"/>
    </xf>
    <xf numFmtId="170" fontId="0" fillId="0" borderId="0" xfId="0" applyNumberFormat="1" applyProtection="1"/>
    <xf numFmtId="2" fontId="0" fillId="0" borderId="0" xfId="0" applyNumberFormat="1" applyProtection="1"/>
    <xf numFmtId="9" fontId="0" fillId="0" borderId="0" xfId="0" applyNumberFormat="1" applyProtection="1"/>
    <xf numFmtId="0" fontId="57" fillId="0" borderId="0" xfId="0" applyFont="1" applyAlignment="1" applyProtection="1">
      <alignment horizontal="right"/>
    </xf>
    <xf numFmtId="2" fontId="57" fillId="0" borderId="0" xfId="0" applyNumberFormat="1" applyFont="1" applyAlignment="1" applyProtection="1">
      <alignment horizontal="center"/>
    </xf>
    <xf numFmtId="0" fontId="0" fillId="0" borderId="0" xfId="0" applyAlignment="1" applyProtection="1"/>
    <xf numFmtId="0" fontId="46" fillId="0" borderId="0" xfId="53" applyFont="1" applyFill="1" applyBorder="1" applyAlignment="1" applyProtection="1">
      <alignment horizontal="right" vertical="center"/>
    </xf>
    <xf numFmtId="167" fontId="63" fillId="0" borderId="0" xfId="30" applyNumberFormat="1" applyFont="1" applyFill="1" applyBorder="1" applyAlignment="1" applyProtection="1">
      <alignment horizontal="center" vertical="center"/>
    </xf>
    <xf numFmtId="0" fontId="58" fillId="0" borderId="0" xfId="47" applyFont="1" applyFill="1" applyBorder="1" applyAlignment="1" applyProtection="1">
      <alignment horizontal="left" vertical="center"/>
    </xf>
    <xf numFmtId="1" fontId="77" fillId="33" borderId="14" xfId="0" applyNumberFormat="1" applyFont="1" applyFill="1" applyBorder="1" applyAlignment="1" applyProtection="1">
      <alignment horizontal="left" vertical="center"/>
    </xf>
    <xf numFmtId="0" fontId="43" fillId="33" borderId="0" xfId="0" applyFont="1" applyFill="1" applyBorder="1" applyAlignment="1" applyProtection="1">
      <alignment horizontal="left" vertical="center"/>
    </xf>
    <xf numFmtId="0" fontId="43" fillId="33" borderId="16" xfId="0" applyFont="1" applyFill="1" applyBorder="1" applyAlignment="1" applyProtection="1">
      <alignment horizontal="left" vertical="center"/>
    </xf>
    <xf numFmtId="0" fontId="57" fillId="33" borderId="15" xfId="0" applyFont="1" applyFill="1" applyBorder="1" applyAlignment="1" applyProtection="1">
      <alignment horizontal="right" vertical="center"/>
    </xf>
    <xf numFmtId="0" fontId="57" fillId="33" borderId="0" xfId="0" applyFont="1" applyFill="1" applyBorder="1" applyAlignment="1" applyProtection="1">
      <alignment horizontal="right" vertical="center"/>
    </xf>
    <xf numFmtId="0" fontId="61" fillId="0" borderId="0" xfId="0" applyFont="1" applyBorder="1" applyAlignment="1" applyProtection="1">
      <alignment horizontal="left" vertical="center"/>
    </xf>
    <xf numFmtId="0" fontId="61" fillId="0" borderId="16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61" fillId="0" borderId="15" xfId="0" applyNumberFormat="1" applyFont="1" applyBorder="1" applyAlignment="1" applyProtection="1">
      <alignment horizontal="left" vertical="center"/>
    </xf>
    <xf numFmtId="170" fontId="61" fillId="0" borderId="15" xfId="0" applyNumberFormat="1" applyFont="1" applyBorder="1" applyAlignment="1" applyProtection="1">
      <alignment horizontal="left" vertical="center"/>
    </xf>
    <xf numFmtId="170" fontId="61" fillId="0" borderId="0" xfId="0" applyNumberFormat="1" applyFont="1" applyBorder="1" applyAlignment="1" applyProtection="1">
      <alignment horizontal="left" vertical="center"/>
    </xf>
    <xf numFmtId="170" fontId="61" fillId="0" borderId="16" xfId="0" applyNumberFormat="1" applyFont="1" applyBorder="1" applyAlignment="1" applyProtection="1">
      <alignment horizontal="left"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Protection="1"/>
    <xf numFmtId="0" fontId="58" fillId="0" borderId="38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0" fillId="0" borderId="0" xfId="0" applyFill="1" applyProtection="1"/>
    <xf numFmtId="0" fontId="50" fillId="0" borderId="0" xfId="0" applyFont="1" applyAlignment="1" applyProtection="1"/>
    <xf numFmtId="0" fontId="0" fillId="0" borderId="36" xfId="0" applyBorder="1" applyProtection="1"/>
    <xf numFmtId="0" fontId="57" fillId="0" borderId="0" xfId="0" applyFont="1" applyAlignment="1" applyProtection="1">
      <alignment vertical="center"/>
    </xf>
    <xf numFmtId="167" fontId="0" fillId="0" borderId="0" xfId="0" applyNumberFormat="1" applyProtection="1"/>
    <xf numFmtId="1" fontId="0" fillId="0" borderId="0" xfId="0" applyNumberFormat="1" applyProtection="1"/>
    <xf numFmtId="0" fontId="50" fillId="0" borderId="0" xfId="0" applyFont="1" applyFill="1" applyBorder="1" applyProtection="1"/>
    <xf numFmtId="1" fontId="52" fillId="34" borderId="28" xfId="51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left" vertical="center"/>
    </xf>
    <xf numFmtId="0" fontId="52" fillId="34" borderId="60" xfId="0" applyFont="1" applyFill="1" applyBorder="1" applyAlignment="1" applyProtection="1">
      <alignment horizontal="left" vertical="center"/>
    </xf>
    <xf numFmtId="2" fontId="47" fillId="0" borderId="17" xfId="0" applyNumberFormat="1" applyFont="1" applyBorder="1" applyAlignment="1" applyProtection="1">
      <alignment vertical="center"/>
    </xf>
    <xf numFmtId="0" fontId="50" fillId="0" borderId="41" xfId="0" applyFont="1" applyBorder="1" applyAlignment="1" applyProtection="1">
      <alignment vertical="center"/>
      <protection locked="0"/>
    </xf>
    <xf numFmtId="0" fontId="57" fillId="0" borderId="92" xfId="0" applyFont="1" applyBorder="1" applyProtection="1"/>
    <xf numFmtId="0" fontId="67" fillId="0" borderId="0" xfId="0" applyFont="1" applyAlignment="1" applyProtection="1">
      <alignment horizontal="left"/>
    </xf>
    <xf numFmtId="0" fontId="44" fillId="0" borderId="0" xfId="0" applyFont="1" applyAlignment="1" applyProtection="1">
      <alignment horizontal="left"/>
    </xf>
    <xf numFmtId="0" fontId="73" fillId="34" borderId="42" xfId="0" applyFont="1" applyFill="1" applyBorder="1" applyAlignment="1" applyProtection="1">
      <alignment horizontal="center" vertical="center"/>
    </xf>
    <xf numFmtId="0" fontId="73" fillId="34" borderId="43" xfId="0" applyFont="1" applyFill="1" applyBorder="1" applyAlignment="1" applyProtection="1">
      <alignment horizontal="center" vertical="center"/>
    </xf>
    <xf numFmtId="0" fontId="73" fillId="34" borderId="45" xfId="0" applyFont="1" applyFill="1" applyBorder="1" applyAlignment="1" applyProtection="1">
      <alignment horizontal="center" vertical="center"/>
    </xf>
    <xf numFmtId="0" fontId="73" fillId="34" borderId="44" xfId="0" applyFont="1" applyFill="1" applyBorder="1" applyAlignment="1" applyProtection="1">
      <alignment horizontal="left" vertical="center"/>
    </xf>
    <xf numFmtId="0" fontId="44" fillId="0" borderId="19" xfId="0" applyFont="1" applyBorder="1" applyAlignment="1" applyProtection="1">
      <alignment horizontal="left"/>
    </xf>
    <xf numFmtId="165" fontId="44" fillId="0" borderId="19" xfId="0" applyNumberFormat="1" applyFont="1" applyBorder="1" applyAlignment="1" applyProtection="1">
      <alignment horizontal="right"/>
    </xf>
    <xf numFmtId="0" fontId="44" fillId="0" borderId="17" xfId="0" applyFont="1" applyBorder="1" applyAlignment="1" applyProtection="1">
      <alignment horizontal="left"/>
    </xf>
    <xf numFmtId="0" fontId="68" fillId="0" borderId="17" xfId="0" applyFont="1" applyBorder="1" applyAlignment="1" applyProtection="1">
      <alignment horizontal="left"/>
    </xf>
    <xf numFmtId="1" fontId="57" fillId="33" borderId="14" xfId="0" applyNumberFormat="1" applyFont="1" applyFill="1" applyBorder="1" applyAlignment="1" applyProtection="1">
      <alignment horizontal="left"/>
    </xf>
    <xf numFmtId="0" fontId="44" fillId="0" borderId="0" xfId="0" applyFont="1" applyAlignment="1" applyProtection="1">
      <alignment horizontal="right"/>
    </xf>
    <xf numFmtId="0" fontId="73" fillId="34" borderId="46" xfId="0" applyFont="1" applyFill="1" applyBorder="1" applyAlignment="1" applyProtection="1">
      <alignment horizontal="center" vertical="center"/>
      <protection locked="0"/>
    </xf>
    <xf numFmtId="1" fontId="44" fillId="0" borderId="41" xfId="0" applyNumberFormat="1" applyFont="1" applyBorder="1" applyAlignment="1" applyProtection="1">
      <alignment horizontal="right"/>
      <protection locked="0"/>
    </xf>
    <xf numFmtId="0" fontId="67" fillId="0" borderId="0" xfId="0" applyFont="1" applyBorder="1" applyAlignment="1" applyProtection="1">
      <alignment vertical="center"/>
    </xf>
    <xf numFmtId="0" fontId="69" fillId="0" borderId="64" xfId="0" applyFont="1" applyBorder="1" applyAlignment="1" applyProtection="1">
      <alignment horizontal="right" vertical="center"/>
    </xf>
    <xf numFmtId="0" fontId="69" fillId="0" borderId="64" xfId="0" applyFont="1" applyBorder="1" applyAlignment="1" applyProtection="1">
      <alignment vertical="center"/>
    </xf>
    <xf numFmtId="0" fontId="44" fillId="0" borderId="0" xfId="0" applyFont="1" applyAlignment="1" applyProtection="1">
      <alignment horizontal="left" vertical="center"/>
    </xf>
    <xf numFmtId="3" fontId="73" fillId="34" borderId="43" xfId="0" applyNumberFormat="1" applyFont="1" applyFill="1" applyBorder="1" applyAlignment="1" applyProtection="1">
      <alignment horizontal="left" vertical="center"/>
    </xf>
    <xf numFmtId="0" fontId="73" fillId="34" borderId="43" xfId="0" applyFont="1" applyFill="1" applyBorder="1" applyAlignment="1" applyProtection="1">
      <alignment horizontal="left" vertical="center"/>
    </xf>
    <xf numFmtId="165" fontId="73" fillId="34" borderId="43" xfId="0" applyNumberFormat="1" applyFont="1" applyFill="1" applyBorder="1" applyAlignment="1" applyProtection="1">
      <alignment horizontal="left" vertical="center"/>
    </xf>
    <xf numFmtId="0" fontId="73" fillId="34" borderId="45" xfId="0" applyFont="1" applyFill="1" applyBorder="1" applyAlignment="1" applyProtection="1">
      <alignment horizontal="left" vertical="center"/>
    </xf>
    <xf numFmtId="0" fontId="44" fillId="0" borderId="0" xfId="0" applyFont="1" applyAlignment="1" applyProtection="1">
      <alignment horizontal="center" vertical="center"/>
    </xf>
    <xf numFmtId="0" fontId="75" fillId="0" borderId="19" xfId="0" applyNumberFormat="1" applyFont="1" applyFill="1" applyBorder="1" applyAlignment="1" applyProtection="1">
      <alignment horizontal="left" vertical="center"/>
    </xf>
    <xf numFmtId="175" fontId="75" fillId="0" borderId="19" xfId="0" applyNumberFormat="1" applyFont="1" applyFill="1" applyBorder="1" applyAlignment="1" applyProtection="1">
      <alignment horizontal="right" vertical="center"/>
    </xf>
    <xf numFmtId="165" fontId="75" fillId="0" borderId="19" xfId="0" applyNumberFormat="1" applyFont="1" applyFill="1" applyBorder="1" applyAlignment="1" applyProtection="1">
      <alignment horizontal="left" vertical="center"/>
    </xf>
    <xf numFmtId="1" fontId="75" fillId="0" borderId="19" xfId="0" applyNumberFormat="1" applyFont="1" applyFill="1" applyBorder="1" applyAlignment="1" applyProtection="1">
      <alignment horizontal="right" vertical="center"/>
    </xf>
    <xf numFmtId="1" fontId="75" fillId="0" borderId="19" xfId="0" applyNumberFormat="1" applyFont="1" applyFill="1" applyBorder="1" applyAlignment="1" applyProtection="1">
      <alignment horizontal="right" vertical="center" wrapText="1"/>
    </xf>
    <xf numFmtId="1" fontId="75" fillId="24" borderId="19" xfId="0" applyNumberFormat="1" applyFont="1" applyFill="1" applyBorder="1" applyAlignment="1" applyProtection="1">
      <alignment horizontal="right" vertical="center"/>
    </xf>
    <xf numFmtId="1" fontId="75" fillId="24" borderId="19" xfId="0" applyNumberFormat="1" applyFont="1" applyFill="1" applyBorder="1" applyAlignment="1" applyProtection="1">
      <alignment horizontal="left" vertical="center"/>
    </xf>
    <xf numFmtId="0" fontId="75" fillId="0" borderId="17" xfId="0" applyNumberFormat="1" applyFont="1" applyFill="1" applyBorder="1" applyAlignment="1" applyProtection="1">
      <alignment horizontal="left" vertical="center"/>
    </xf>
    <xf numFmtId="175" fontId="75" fillId="0" borderId="17" xfId="0" applyNumberFormat="1" applyFont="1" applyFill="1" applyBorder="1" applyAlignment="1" applyProtection="1">
      <alignment horizontal="right" vertical="center"/>
    </xf>
    <xf numFmtId="165" fontId="75" fillId="0" borderId="17" xfId="0" applyNumberFormat="1" applyFont="1" applyFill="1" applyBorder="1" applyAlignment="1" applyProtection="1">
      <alignment horizontal="left" vertical="center"/>
    </xf>
    <xf numFmtId="1" fontId="75" fillId="0" borderId="17" xfId="0" applyNumberFormat="1" applyFont="1" applyFill="1" applyBorder="1" applyAlignment="1" applyProtection="1">
      <alignment horizontal="right" vertical="center"/>
    </xf>
    <xf numFmtId="1" fontId="75" fillId="0" borderId="17" xfId="0" applyNumberFormat="1" applyFont="1" applyFill="1" applyBorder="1" applyAlignment="1" applyProtection="1">
      <alignment horizontal="right" vertical="center" wrapText="1"/>
    </xf>
    <xf numFmtId="1" fontId="75" fillId="24" borderId="17" xfId="0" applyNumberFormat="1" applyFont="1" applyFill="1" applyBorder="1" applyAlignment="1" applyProtection="1">
      <alignment horizontal="right" vertical="center"/>
    </xf>
    <xf numFmtId="1" fontId="75" fillId="24" borderId="17" xfId="0" applyNumberFormat="1" applyFont="1" applyFill="1" applyBorder="1" applyAlignment="1" applyProtection="1">
      <alignment horizontal="left" vertical="center"/>
    </xf>
    <xf numFmtId="1" fontId="75" fillId="37" borderId="17" xfId="0" applyNumberFormat="1" applyFont="1" applyFill="1" applyBorder="1" applyAlignment="1" applyProtection="1">
      <alignment horizontal="right" vertical="center"/>
    </xf>
    <xf numFmtId="0" fontId="79" fillId="0" borderId="17" xfId="0" applyNumberFormat="1" applyFont="1" applyFill="1" applyBorder="1" applyAlignment="1" applyProtection="1">
      <alignment horizontal="left" vertical="center"/>
    </xf>
    <xf numFmtId="175" fontId="79" fillId="0" borderId="17" xfId="0" applyNumberFormat="1" applyFont="1" applyFill="1" applyBorder="1" applyAlignment="1" applyProtection="1">
      <alignment horizontal="right" vertical="center"/>
    </xf>
    <xf numFmtId="165" fontId="79" fillId="0" borderId="17" xfId="0" applyNumberFormat="1" applyFont="1" applyFill="1" applyBorder="1" applyAlignment="1" applyProtection="1">
      <alignment horizontal="left" vertical="center"/>
    </xf>
    <xf numFmtId="1" fontId="79" fillId="0" borderId="17" xfId="0" applyNumberFormat="1" applyFont="1" applyFill="1" applyBorder="1" applyAlignment="1" applyProtection="1">
      <alignment horizontal="right" vertical="center"/>
    </xf>
    <xf numFmtId="1" fontId="79" fillId="24" borderId="17" xfId="0" applyNumberFormat="1" applyFont="1" applyFill="1" applyBorder="1" applyAlignment="1" applyProtection="1">
      <alignment horizontal="right" vertical="center"/>
    </xf>
    <xf numFmtId="1" fontId="79" fillId="24" borderId="17" xfId="0" applyNumberFormat="1" applyFont="1" applyFill="1" applyBorder="1" applyAlignment="1" applyProtection="1">
      <alignment horizontal="left" vertical="center"/>
    </xf>
    <xf numFmtId="1" fontId="75" fillId="37" borderId="17" xfId="0" applyNumberFormat="1" applyFont="1" applyFill="1" applyBorder="1" applyAlignment="1" applyProtection="1">
      <alignment horizontal="right" vertical="center" wrapText="1"/>
    </xf>
    <xf numFmtId="0" fontId="75" fillId="0" borderId="17" xfId="0" applyNumberFormat="1" applyFont="1" applyFill="1" applyBorder="1" applyAlignment="1" applyProtection="1">
      <alignment horizontal="left" vertical="center" wrapText="1"/>
    </xf>
    <xf numFmtId="175" fontId="75" fillId="0" borderId="17" xfId="0" applyNumberFormat="1" applyFont="1" applyFill="1" applyBorder="1" applyAlignment="1" applyProtection="1">
      <alignment vertical="center"/>
    </xf>
    <xf numFmtId="175" fontId="76" fillId="0" borderId="17" xfId="0" applyNumberFormat="1" applyFont="1" applyFill="1" applyBorder="1" applyAlignment="1" applyProtection="1">
      <alignment vertical="center"/>
    </xf>
    <xf numFmtId="3" fontId="29" fillId="0" borderId="0" xfId="0" applyNumberFormat="1" applyFont="1" applyFill="1" applyBorder="1" applyAlignment="1" applyProtection="1">
      <alignment horizontal="right" vertical="center"/>
    </xf>
    <xf numFmtId="0" fontId="29" fillId="0" borderId="0" xfId="0" applyFont="1" applyBorder="1" applyAlignment="1" applyProtection="1">
      <alignment horizontal="left" vertical="center"/>
    </xf>
    <xf numFmtId="165" fontId="29" fillId="0" borderId="0" xfId="0" applyNumberFormat="1" applyFont="1" applyBorder="1" applyAlignment="1" applyProtection="1">
      <alignment horizontal="left" vertical="center"/>
    </xf>
    <xf numFmtId="165" fontId="29" fillId="0" borderId="0" xfId="0" applyNumberFormat="1" applyFont="1" applyBorder="1" applyAlignment="1" applyProtection="1">
      <alignment horizontal="right" vertical="center"/>
    </xf>
    <xf numFmtId="0" fontId="29" fillId="0" borderId="16" xfId="0" applyFont="1" applyBorder="1" applyAlignment="1" applyProtection="1">
      <alignment horizontal="left" vertical="center"/>
    </xf>
    <xf numFmtId="165" fontId="12" fillId="0" borderId="0" xfId="0" applyNumberFormat="1" applyFont="1" applyFill="1" applyAlignment="1" applyProtection="1">
      <alignment horizontal="right" vertical="center"/>
    </xf>
    <xf numFmtId="0" fontId="44" fillId="0" borderId="0" xfId="0" applyFont="1" applyAlignment="1" applyProtection="1">
      <alignment horizontal="right" vertical="center"/>
    </xf>
    <xf numFmtId="0" fontId="77" fillId="33" borderId="24" xfId="0" applyFont="1" applyFill="1" applyBorder="1" applyAlignment="1" applyProtection="1">
      <alignment vertical="center"/>
    </xf>
    <xf numFmtId="3" fontId="44" fillId="0" borderId="0" xfId="0" applyNumberFormat="1" applyFont="1" applyAlignment="1" applyProtection="1">
      <alignment horizontal="right" vertical="center"/>
    </xf>
    <xf numFmtId="165" fontId="44" fillId="0" borderId="0" xfId="0" applyNumberFormat="1" applyFont="1" applyAlignment="1" applyProtection="1">
      <alignment horizontal="left" vertical="center"/>
    </xf>
    <xf numFmtId="165" fontId="44" fillId="0" borderId="0" xfId="0" applyNumberFormat="1" applyFont="1" applyAlignment="1" applyProtection="1">
      <alignment horizontal="right" vertical="center"/>
    </xf>
    <xf numFmtId="1" fontId="44" fillId="0" borderId="0" xfId="0" applyNumberFormat="1" applyFont="1" applyAlignment="1" applyProtection="1">
      <alignment horizontal="left" vertical="center"/>
    </xf>
    <xf numFmtId="0" fontId="46" fillId="0" borderId="0" xfId="53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vertical="center"/>
    </xf>
    <xf numFmtId="0" fontId="57" fillId="0" borderId="0" xfId="0" applyNumberFormat="1" applyFont="1" applyAlignment="1" applyProtection="1">
      <alignment horizontal="center"/>
    </xf>
    <xf numFmtId="165" fontId="51" fillId="0" borderId="0" xfId="0" applyNumberFormat="1" applyFont="1" applyFill="1" applyBorder="1" applyAlignment="1" applyProtection="1">
      <alignment horizontal="right" vertical="center"/>
    </xf>
    <xf numFmtId="165" fontId="51" fillId="0" borderId="0" xfId="0" applyNumberFormat="1" applyFont="1" applyFill="1" applyBorder="1" applyAlignment="1" applyProtection="1">
      <alignment horizontal="left" vertical="center"/>
    </xf>
    <xf numFmtId="1" fontId="51" fillId="33" borderId="19" xfId="0" applyNumberFormat="1" applyFont="1" applyFill="1" applyBorder="1" applyAlignment="1" applyProtection="1">
      <alignment horizontal="center" vertical="center"/>
    </xf>
    <xf numFmtId="1" fontId="57" fillId="0" borderId="0" xfId="0" applyNumberFormat="1" applyFont="1" applyAlignment="1" applyProtection="1">
      <alignment horizontal="center"/>
    </xf>
    <xf numFmtId="0" fontId="0" fillId="0" borderId="0" xfId="0" applyNumberFormat="1" applyProtection="1"/>
    <xf numFmtId="0" fontId="67" fillId="0" borderId="0" xfId="0" applyFont="1" applyAlignment="1" applyProtection="1">
      <alignment horizontal="left"/>
    </xf>
    <xf numFmtId="0" fontId="0" fillId="0" borderId="0" xfId="0" applyBorder="1" applyAlignment="1" applyProtection="1">
      <alignment vertical="center"/>
    </xf>
    <xf numFmtId="0" fontId="0" fillId="0" borderId="16" xfId="0" applyBorder="1" applyAlignment="1" applyProtection="1">
      <alignment vertical="center"/>
    </xf>
    <xf numFmtId="167" fontId="57" fillId="0" borderId="0" xfId="0" applyNumberFormat="1" applyFont="1" applyAlignment="1" applyProtection="1">
      <alignment horizontal="center" vertical="center"/>
    </xf>
    <xf numFmtId="165" fontId="50" fillId="33" borderId="17" xfId="11" applyNumberFormat="1" applyFont="1" applyFill="1" applyBorder="1" applyAlignment="1" applyProtection="1">
      <alignment horizontal="center" vertical="center"/>
    </xf>
    <xf numFmtId="165" fontId="51" fillId="33" borderId="32" xfId="7" applyNumberFormat="1" applyFont="1" applyFill="1" applyBorder="1" applyAlignment="1" applyProtection="1">
      <alignment horizontal="center" vertical="center"/>
      <protection locked="0"/>
    </xf>
    <xf numFmtId="165" fontId="44" fillId="0" borderId="17" xfId="0" applyNumberFormat="1" applyFont="1" applyBorder="1" applyAlignment="1" applyProtection="1">
      <alignment horizontal="right"/>
    </xf>
    <xf numFmtId="0" fontId="73" fillId="34" borderId="46" xfId="0" applyFont="1" applyFill="1" applyBorder="1" applyAlignment="1" applyProtection="1">
      <alignment horizontal="center" vertical="center"/>
    </xf>
    <xf numFmtId="167" fontId="47" fillId="0" borderId="19" xfId="30" applyNumberFormat="1" applyFont="1" applyFill="1" applyBorder="1" applyAlignment="1" applyProtection="1">
      <alignment horizontal="center" vertical="center"/>
    </xf>
    <xf numFmtId="0" fontId="0" fillId="0" borderId="18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46" fillId="0" borderId="0" xfId="53" applyFont="1" applyFill="1" applyBorder="1" applyAlignment="1" applyProtection="1">
      <alignment horizontal="right" vertical="center"/>
    </xf>
    <xf numFmtId="0" fontId="46" fillId="0" borderId="16" xfId="42" applyFont="1" applyFill="1" applyBorder="1" applyAlignment="1" applyProtection="1">
      <alignment horizontal="right" vertical="center"/>
    </xf>
    <xf numFmtId="0" fontId="46" fillId="0" borderId="19" xfId="42" applyFont="1" applyFill="1" applyBorder="1" applyAlignment="1" applyProtection="1">
      <alignment horizontal="right" vertical="center"/>
    </xf>
    <xf numFmtId="0" fontId="46" fillId="0" borderId="23" xfId="42" applyFont="1" applyFill="1" applyBorder="1" applyAlignment="1" applyProtection="1">
      <alignment horizontal="right" vertical="center"/>
    </xf>
    <xf numFmtId="0" fontId="78" fillId="38" borderId="65" xfId="0" applyFont="1" applyFill="1" applyBorder="1" applyAlignment="1" applyProtection="1">
      <alignment horizontal="center" vertical="center"/>
    </xf>
    <xf numFmtId="0" fontId="78" fillId="38" borderId="66" xfId="0" applyFont="1" applyFill="1" applyBorder="1" applyAlignment="1" applyProtection="1">
      <alignment horizontal="center" vertical="center"/>
    </xf>
    <xf numFmtId="0" fontId="78" fillId="38" borderId="67" xfId="0" applyFont="1" applyFill="1" applyBorder="1" applyAlignment="1" applyProtection="1">
      <alignment horizontal="center" vertical="center"/>
    </xf>
    <xf numFmtId="167" fontId="58" fillId="33" borderId="38" xfId="7" applyNumberFormat="1" applyFont="1" applyFill="1" applyBorder="1" applyAlignment="1" applyProtection="1">
      <alignment horizontal="center" vertical="center"/>
      <protection locked="0"/>
    </xf>
    <xf numFmtId="0" fontId="46" fillId="0" borderId="0" xfId="47" applyFont="1" applyFill="1" applyBorder="1" applyAlignment="1" applyProtection="1">
      <alignment horizontal="right" vertical="center"/>
    </xf>
    <xf numFmtId="0" fontId="10" fillId="35" borderId="22" xfId="47" applyFont="1" applyFill="1" applyBorder="1" applyAlignment="1" applyProtection="1">
      <alignment horizontal="right" vertical="center"/>
    </xf>
    <xf numFmtId="0" fontId="10" fillId="35" borderId="23" xfId="47" applyFont="1" applyFill="1" applyBorder="1" applyAlignment="1" applyProtection="1">
      <alignment horizontal="right" vertical="center"/>
    </xf>
    <xf numFmtId="0" fontId="46" fillId="0" borderId="20" xfId="47" applyFont="1" applyFill="1" applyBorder="1" applyAlignment="1" applyProtection="1">
      <alignment horizontal="right" vertical="center"/>
    </xf>
    <xf numFmtId="0" fontId="46" fillId="0" borderId="20" xfId="53" applyFont="1" applyFill="1" applyBorder="1" applyAlignment="1" applyProtection="1">
      <alignment horizontal="right" vertical="center"/>
    </xf>
    <xf numFmtId="0" fontId="10" fillId="35" borderId="22" xfId="42" applyFont="1" applyFill="1" applyBorder="1" applyAlignment="1" applyProtection="1">
      <alignment horizontal="left" vertical="center"/>
    </xf>
    <xf numFmtId="0" fontId="10" fillId="35" borderId="23" xfId="42" applyFont="1" applyFill="1" applyBorder="1" applyAlignment="1" applyProtection="1">
      <alignment horizontal="left" vertical="center"/>
    </xf>
    <xf numFmtId="0" fontId="10" fillId="35" borderId="22" xfId="51" applyFont="1" applyFill="1" applyBorder="1" applyAlignment="1" applyProtection="1">
      <alignment horizontal="right" vertical="center"/>
    </xf>
    <xf numFmtId="0" fontId="10" fillId="35" borderId="23" xfId="51" applyFont="1" applyFill="1" applyBorder="1" applyAlignment="1" applyProtection="1">
      <alignment horizontal="right" vertical="center"/>
    </xf>
    <xf numFmtId="0" fontId="45" fillId="39" borderId="69" xfId="0" applyFont="1" applyFill="1" applyBorder="1" applyAlignment="1" applyProtection="1">
      <alignment horizontal="left" vertical="center"/>
    </xf>
    <xf numFmtId="0" fontId="58" fillId="33" borderId="38" xfId="14" applyFont="1" applyFill="1" applyBorder="1" applyAlignment="1" applyProtection="1">
      <alignment horizontal="center" vertical="center"/>
      <protection locked="0"/>
    </xf>
    <xf numFmtId="0" fontId="45" fillId="36" borderId="38" xfId="9" applyFont="1" applyFill="1" applyBorder="1" applyAlignment="1" applyProtection="1">
      <alignment horizontal="center" vertical="center"/>
      <protection locked="0"/>
    </xf>
    <xf numFmtId="3" fontId="58" fillId="33" borderId="38" xfId="14" applyNumberFormat="1" applyFont="1" applyFill="1" applyBorder="1" applyAlignment="1" applyProtection="1">
      <alignment horizontal="center" vertical="center"/>
      <protection locked="0"/>
    </xf>
    <xf numFmtId="167" fontId="63" fillId="0" borderId="0" xfId="30" applyNumberFormat="1" applyFont="1" applyFill="1" applyBorder="1" applyAlignment="1" applyProtection="1">
      <alignment horizontal="center" vertical="center"/>
    </xf>
    <xf numFmtId="0" fontId="74" fillId="0" borderId="68" xfId="0" applyFont="1" applyBorder="1" applyAlignment="1" applyProtection="1">
      <alignment horizontal="center" vertical="center"/>
    </xf>
    <xf numFmtId="0" fontId="74" fillId="0" borderId="0" xfId="0" applyFont="1" applyAlignment="1" applyProtection="1">
      <alignment horizontal="center" vertical="center"/>
    </xf>
    <xf numFmtId="2" fontId="58" fillId="33" borderId="38" xfId="0" applyNumberFormat="1" applyFont="1" applyFill="1" applyBorder="1" applyAlignment="1" applyProtection="1">
      <alignment horizontal="center" vertical="center"/>
      <protection locked="0"/>
    </xf>
    <xf numFmtId="0" fontId="46" fillId="0" borderId="0" xfId="53" applyFont="1" applyFill="1" applyBorder="1" applyAlignment="1" applyProtection="1">
      <alignment horizontal="left" vertical="center"/>
    </xf>
    <xf numFmtId="0" fontId="67" fillId="0" borderId="0" xfId="0" applyFont="1" applyAlignment="1" applyProtection="1">
      <alignment horizontal="left" vertical="center"/>
    </xf>
    <xf numFmtId="0" fontId="46" fillId="0" borderId="0" xfId="42" applyFont="1" applyFill="1" applyBorder="1" applyAlignment="1" applyProtection="1">
      <alignment horizontal="left" vertical="center"/>
    </xf>
    <xf numFmtId="0" fontId="45" fillId="36" borderId="36" xfId="0" applyFont="1" applyFill="1" applyBorder="1" applyAlignment="1" applyProtection="1">
      <alignment horizontal="center" vertical="center"/>
      <protection locked="0"/>
    </xf>
    <xf numFmtId="0" fontId="46" fillId="0" borderId="20" xfId="53" applyFont="1" applyFill="1" applyBorder="1" applyAlignment="1" applyProtection="1">
      <alignment horizontal="left" vertical="center"/>
    </xf>
    <xf numFmtId="0" fontId="45" fillId="39" borderId="70" xfId="0" applyFont="1" applyFill="1" applyBorder="1" applyAlignment="1" applyProtection="1">
      <alignment horizontal="left" vertical="center"/>
    </xf>
    <xf numFmtId="0" fontId="78" fillId="38" borderId="65" xfId="0" applyFont="1" applyFill="1" applyBorder="1" applyAlignment="1" applyProtection="1">
      <alignment horizontal="center"/>
    </xf>
    <xf numFmtId="0" fontId="78" fillId="38" borderId="66" xfId="0" applyFont="1" applyFill="1" applyBorder="1" applyAlignment="1" applyProtection="1">
      <alignment horizontal="center"/>
    </xf>
    <xf numFmtId="0" fontId="78" fillId="38" borderId="67" xfId="0" applyFont="1" applyFill="1" applyBorder="1" applyAlignment="1" applyProtection="1">
      <alignment horizontal="center"/>
    </xf>
    <xf numFmtId="2" fontId="63" fillId="33" borderId="20" xfId="0" applyNumberFormat="1" applyFont="1" applyFill="1" applyBorder="1" applyAlignment="1" applyProtection="1">
      <alignment horizontal="center" vertical="center"/>
    </xf>
    <xf numFmtId="0" fontId="46" fillId="0" borderId="0" xfId="0" applyFont="1" applyFill="1" applyBorder="1" applyAlignment="1" applyProtection="1">
      <alignment horizontal="right"/>
    </xf>
    <xf numFmtId="0" fontId="0" fillId="0" borderId="0" xfId="0" applyFill="1" applyBorder="1" applyProtection="1"/>
    <xf numFmtId="0" fontId="46" fillId="0" borderId="17" xfId="53" applyFont="1" applyFill="1" applyBorder="1" applyAlignment="1" applyProtection="1">
      <alignment horizontal="right" vertical="center"/>
    </xf>
    <xf numFmtId="0" fontId="46" fillId="0" borderId="24" xfId="53" applyFont="1" applyFill="1" applyBorder="1" applyAlignment="1" applyProtection="1">
      <alignment horizontal="right" vertical="center"/>
    </xf>
    <xf numFmtId="167" fontId="51" fillId="33" borderId="32" xfId="7" applyNumberFormat="1" applyFont="1" applyFill="1" applyBorder="1" applyAlignment="1" applyProtection="1">
      <alignment horizontal="center" vertical="center"/>
      <protection locked="0"/>
    </xf>
    <xf numFmtId="0" fontId="10" fillId="35" borderId="17" xfId="42" applyFont="1" applyFill="1" applyBorder="1" applyAlignment="1" applyProtection="1">
      <alignment horizontal="left" vertical="center"/>
    </xf>
    <xf numFmtId="0" fontId="46" fillId="0" borderId="18" xfId="53" applyFont="1" applyFill="1" applyBorder="1" applyAlignment="1" applyProtection="1">
      <alignment horizontal="right" vertical="center"/>
    </xf>
    <xf numFmtId="0" fontId="10" fillId="35" borderId="24" xfId="51" applyFont="1" applyFill="1" applyBorder="1" applyAlignment="1" applyProtection="1">
      <alignment horizontal="left" vertical="center"/>
    </xf>
    <xf numFmtId="0" fontId="10" fillId="35" borderId="18" xfId="51" applyFont="1" applyFill="1" applyBorder="1" applyAlignment="1" applyProtection="1">
      <alignment horizontal="left" vertical="center"/>
    </xf>
    <xf numFmtId="0" fontId="10" fillId="35" borderId="14" xfId="51" applyFont="1" applyFill="1" applyBorder="1" applyAlignment="1" applyProtection="1">
      <alignment horizontal="left" vertical="center"/>
    </xf>
    <xf numFmtId="0" fontId="71" fillId="0" borderId="0" xfId="47" applyFont="1" applyFill="1" applyBorder="1" applyAlignment="1" applyProtection="1">
      <alignment horizontal="left"/>
    </xf>
    <xf numFmtId="0" fontId="52" fillId="34" borderId="24" xfId="53" applyFont="1" applyFill="1" applyBorder="1" applyAlignment="1" applyProtection="1">
      <alignment horizontal="right" vertical="center"/>
    </xf>
    <xf numFmtId="0" fontId="52" fillId="34" borderId="18" xfId="53" applyFont="1" applyFill="1" applyBorder="1" applyAlignment="1" applyProtection="1">
      <alignment horizontal="right" vertical="center"/>
    </xf>
    <xf numFmtId="0" fontId="52" fillId="34" borderId="14" xfId="53" applyFont="1" applyFill="1" applyBorder="1" applyAlignment="1" applyProtection="1">
      <alignment horizontal="right" vertical="center"/>
    </xf>
    <xf numFmtId="0" fontId="52" fillId="34" borderId="24" xfId="42" applyFont="1" applyFill="1" applyBorder="1" applyAlignment="1" applyProtection="1">
      <alignment horizontal="right" vertical="center"/>
    </xf>
    <xf numFmtId="0" fontId="52" fillId="34" borderId="18" xfId="42" applyFont="1" applyFill="1" applyBorder="1" applyAlignment="1" applyProtection="1">
      <alignment horizontal="right" vertical="center"/>
    </xf>
    <xf numFmtId="0" fontId="52" fillId="34" borderId="14" xfId="42" applyFont="1" applyFill="1" applyBorder="1" applyAlignment="1" applyProtection="1">
      <alignment horizontal="right" vertical="center"/>
    </xf>
    <xf numFmtId="0" fontId="46" fillId="33" borderId="24" xfId="53" applyFont="1" applyFill="1" applyBorder="1" applyAlignment="1" applyProtection="1">
      <alignment horizontal="right" vertical="center"/>
    </xf>
    <xf numFmtId="0" fontId="46" fillId="33" borderId="18" xfId="53" applyFont="1" applyFill="1" applyBorder="1" applyAlignment="1" applyProtection="1">
      <alignment horizontal="right" vertical="center"/>
    </xf>
    <xf numFmtId="0" fontId="46" fillId="33" borderId="14" xfId="53" applyFont="1" applyFill="1" applyBorder="1" applyAlignment="1" applyProtection="1">
      <alignment horizontal="right" vertical="center"/>
    </xf>
    <xf numFmtId="0" fontId="45" fillId="39" borderId="73" xfId="45" applyFont="1" applyFill="1" applyBorder="1" applyAlignment="1" applyProtection="1">
      <alignment horizontal="left" vertical="center"/>
    </xf>
    <xf numFmtId="0" fontId="44" fillId="35" borderId="24" xfId="0" applyFont="1" applyFill="1" applyBorder="1" applyAlignment="1" applyProtection="1">
      <alignment horizontal="center" vertical="center"/>
    </xf>
    <xf numFmtId="0" fontId="44" fillId="35" borderId="14" xfId="0" applyFont="1" applyFill="1" applyBorder="1" applyAlignment="1" applyProtection="1">
      <alignment horizontal="center" vertical="center"/>
    </xf>
    <xf numFmtId="0" fontId="52" fillId="34" borderId="53" xfId="0" applyFont="1" applyFill="1" applyBorder="1" applyAlignment="1" applyProtection="1">
      <alignment horizontal="center" vertical="center" wrapText="1"/>
    </xf>
    <xf numFmtId="0" fontId="52" fillId="34" borderId="19" xfId="0" applyFont="1" applyFill="1" applyBorder="1" applyAlignment="1" applyProtection="1">
      <alignment horizontal="center" vertical="center" wrapText="1"/>
    </xf>
    <xf numFmtId="0" fontId="52" fillId="34" borderId="24" xfId="0" applyFont="1" applyFill="1" applyBorder="1" applyAlignment="1" applyProtection="1">
      <alignment horizontal="right" vertical="center"/>
    </xf>
    <xf numFmtId="0" fontId="52" fillId="34" borderId="18" xfId="0" applyFont="1" applyFill="1" applyBorder="1" applyAlignment="1" applyProtection="1">
      <alignment horizontal="right" vertical="center"/>
    </xf>
    <xf numFmtId="0" fontId="52" fillId="34" borderId="14" xfId="0" applyFont="1" applyFill="1" applyBorder="1" applyAlignment="1" applyProtection="1">
      <alignment horizontal="right" vertical="center"/>
    </xf>
    <xf numFmtId="0" fontId="55" fillId="34" borderId="53" xfId="0" applyFont="1" applyFill="1" applyBorder="1" applyAlignment="1" applyProtection="1">
      <alignment horizontal="center" vertical="center" wrapText="1"/>
    </xf>
    <xf numFmtId="0" fontId="55" fillId="34" borderId="71" xfId="0" applyFont="1" applyFill="1" applyBorder="1" applyAlignment="1" applyProtection="1">
      <alignment horizontal="center" vertical="center" wrapText="1"/>
    </xf>
    <xf numFmtId="0" fontId="46" fillId="0" borderId="14" xfId="53" applyFont="1" applyFill="1" applyBorder="1" applyAlignment="1" applyProtection="1">
      <alignment horizontal="right" vertical="center"/>
    </xf>
    <xf numFmtId="0" fontId="45" fillId="39" borderId="72" xfId="45" applyFont="1" applyFill="1" applyBorder="1" applyAlignment="1" applyProtection="1">
      <alignment horizontal="left" vertical="center"/>
    </xf>
    <xf numFmtId="0" fontId="46" fillId="0" borderId="24" xfId="0" applyFont="1" applyFill="1" applyBorder="1" applyAlignment="1" applyProtection="1">
      <alignment horizontal="right" vertical="center"/>
    </xf>
    <xf numFmtId="0" fontId="46" fillId="0" borderId="18" xfId="0" applyFont="1" applyFill="1" applyBorder="1" applyAlignment="1" applyProtection="1">
      <alignment horizontal="right" vertical="center"/>
    </xf>
    <xf numFmtId="0" fontId="46" fillId="0" borderId="14" xfId="0" applyFont="1" applyFill="1" applyBorder="1" applyAlignment="1" applyProtection="1">
      <alignment horizontal="right" vertical="center"/>
    </xf>
    <xf numFmtId="1" fontId="51" fillId="0" borderId="24" xfId="0" applyNumberFormat="1" applyFont="1" applyBorder="1" applyAlignment="1" applyProtection="1">
      <alignment horizontal="center" vertical="center"/>
    </xf>
    <xf numFmtId="1" fontId="51" fillId="0" borderId="14" xfId="0" applyNumberFormat="1" applyFont="1" applyBorder="1" applyAlignment="1" applyProtection="1">
      <alignment horizontal="center" vertical="center"/>
    </xf>
    <xf numFmtId="0" fontId="50" fillId="35" borderId="24" xfId="0" applyFont="1" applyFill="1" applyBorder="1" applyAlignment="1" applyProtection="1">
      <alignment horizontal="center" vertical="center"/>
    </xf>
    <xf numFmtId="0" fontId="50" fillId="35" borderId="14" xfId="0" applyFont="1" applyFill="1" applyBorder="1" applyAlignment="1" applyProtection="1">
      <alignment horizontal="center" vertical="center"/>
    </xf>
    <xf numFmtId="0" fontId="46" fillId="0" borderId="31" xfId="53" applyFont="1" applyFill="1" applyBorder="1" applyAlignment="1" applyProtection="1">
      <alignment horizontal="right" vertical="center"/>
    </xf>
    <xf numFmtId="0" fontId="46" fillId="0" borderId="22" xfId="53" applyFont="1" applyFill="1" applyBorder="1" applyAlignment="1" applyProtection="1">
      <alignment horizontal="right" vertical="center"/>
    </xf>
    <xf numFmtId="0" fontId="46" fillId="0" borderId="23" xfId="53" applyFont="1" applyFill="1" applyBorder="1" applyAlignment="1" applyProtection="1">
      <alignment horizontal="right" vertical="center"/>
    </xf>
    <xf numFmtId="0" fontId="57" fillId="0" borderId="0" xfId="0" applyFont="1" applyAlignment="1" applyProtection="1">
      <alignment horizontal="center" vertical="center"/>
    </xf>
    <xf numFmtId="0" fontId="46" fillId="0" borderId="24" xfId="0" applyFont="1" applyBorder="1" applyAlignment="1" applyProtection="1">
      <alignment horizontal="right" vertical="center"/>
    </xf>
    <xf numFmtId="0" fontId="46" fillId="0" borderId="18" xfId="0" applyFont="1" applyBorder="1" applyAlignment="1" applyProtection="1">
      <alignment horizontal="right" vertical="center"/>
    </xf>
    <xf numFmtId="0" fontId="46" fillId="0" borderId="14" xfId="0" applyFont="1" applyBorder="1" applyAlignment="1" applyProtection="1">
      <alignment horizontal="right" vertical="center"/>
    </xf>
    <xf numFmtId="0" fontId="10" fillId="35" borderId="24" xfId="0" applyNumberFormat="1" applyFont="1" applyFill="1" applyBorder="1" applyAlignment="1" applyProtection="1">
      <alignment horizontal="left" vertical="center"/>
    </xf>
    <xf numFmtId="0" fontId="10" fillId="35" borderId="18" xfId="0" applyNumberFormat="1" applyFont="1" applyFill="1" applyBorder="1" applyAlignment="1" applyProtection="1">
      <alignment horizontal="left" vertical="center"/>
    </xf>
    <xf numFmtId="0" fontId="10" fillId="35" borderId="14" xfId="0" applyNumberFormat="1" applyFont="1" applyFill="1" applyBorder="1" applyAlignment="1" applyProtection="1">
      <alignment horizontal="left" vertical="center"/>
    </xf>
    <xf numFmtId="49" fontId="51" fillId="0" borderId="40" xfId="0" applyNumberFormat="1" applyFont="1" applyBorder="1" applyAlignment="1" applyProtection="1">
      <alignment horizontal="center" vertical="center"/>
      <protection locked="0"/>
    </xf>
    <xf numFmtId="49" fontId="51" fillId="0" borderId="39" xfId="0" applyNumberFormat="1" applyFont="1" applyBorder="1" applyAlignment="1" applyProtection="1">
      <alignment horizontal="center" vertical="center"/>
      <protection locked="0"/>
    </xf>
    <xf numFmtId="165" fontId="51" fillId="0" borderId="24" xfId="0" applyNumberFormat="1" applyFont="1" applyFill="1" applyBorder="1" applyAlignment="1" applyProtection="1">
      <alignment horizontal="center" vertical="center"/>
    </xf>
    <xf numFmtId="165" fontId="51" fillId="0" borderId="14" xfId="0" applyNumberFormat="1" applyFont="1" applyFill="1" applyBorder="1" applyAlignment="1" applyProtection="1">
      <alignment horizontal="center" vertical="center"/>
    </xf>
    <xf numFmtId="9" fontId="51" fillId="33" borderId="40" xfId="0" applyNumberFormat="1" applyFont="1" applyFill="1" applyBorder="1" applyAlignment="1" applyProtection="1">
      <alignment horizontal="center" vertical="center"/>
      <protection locked="0"/>
    </xf>
    <xf numFmtId="9" fontId="51" fillId="33" borderId="39" xfId="0" applyNumberFormat="1" applyFont="1" applyFill="1" applyBorder="1" applyAlignment="1" applyProtection="1">
      <alignment horizontal="center" vertical="center"/>
      <protection locked="0"/>
    </xf>
    <xf numFmtId="2" fontId="51" fillId="33" borderId="40" xfId="0" applyNumberFormat="1" applyFont="1" applyFill="1" applyBorder="1" applyAlignment="1" applyProtection="1">
      <alignment horizontal="center" vertical="center"/>
      <protection locked="0"/>
    </xf>
    <xf numFmtId="2" fontId="51" fillId="33" borderId="39" xfId="0" applyNumberFormat="1" applyFont="1" applyFill="1" applyBorder="1" applyAlignment="1" applyProtection="1">
      <alignment horizontal="center" vertical="center"/>
      <protection locked="0"/>
    </xf>
    <xf numFmtId="0" fontId="71" fillId="0" borderId="0" xfId="47" applyFont="1" applyFill="1" applyBorder="1" applyAlignment="1" applyProtection="1">
      <alignment horizontal="left" vertical="center"/>
    </xf>
    <xf numFmtId="0" fontId="58" fillId="0" borderId="0" xfId="47" applyFont="1" applyFill="1" applyBorder="1" applyAlignment="1" applyProtection="1">
      <alignment horizontal="left" vertical="center"/>
    </xf>
    <xf numFmtId="0" fontId="52" fillId="34" borderId="26" xfId="51" applyFont="1" applyFill="1" applyBorder="1" applyAlignment="1" applyProtection="1">
      <alignment horizontal="right" vertical="center"/>
    </xf>
    <xf numFmtId="0" fontId="52" fillId="34" borderId="28" xfId="51" applyFont="1" applyFill="1" applyBorder="1" applyAlignment="1" applyProtection="1">
      <alignment horizontal="right" vertical="center"/>
    </xf>
    <xf numFmtId="166" fontId="69" fillId="0" borderId="80" xfId="51" applyNumberFormat="1" applyFont="1" applyFill="1" applyBorder="1" applyAlignment="1" applyProtection="1">
      <alignment horizontal="center" vertical="center"/>
    </xf>
    <xf numFmtId="166" fontId="69" fillId="0" borderId="76" xfId="51" applyNumberFormat="1" applyFont="1" applyFill="1" applyBorder="1" applyAlignment="1" applyProtection="1">
      <alignment horizontal="center" vertical="center"/>
    </xf>
    <xf numFmtId="166" fontId="69" fillId="0" borderId="81" xfId="51" applyNumberFormat="1" applyFont="1" applyFill="1" applyBorder="1" applyAlignment="1" applyProtection="1">
      <alignment horizontal="center" vertical="center"/>
    </xf>
    <xf numFmtId="0" fontId="69" fillId="0" borderId="75" xfId="51" applyFont="1" applyFill="1" applyBorder="1" applyAlignment="1" applyProtection="1">
      <alignment horizontal="center" vertical="center"/>
    </xf>
    <xf numFmtId="0" fontId="69" fillId="0" borderId="76" xfId="51" applyFont="1" applyFill="1" applyBorder="1" applyAlignment="1" applyProtection="1">
      <alignment horizontal="center" vertical="center"/>
    </xf>
    <xf numFmtId="0" fontId="69" fillId="0" borderId="81" xfId="51" applyFont="1" applyFill="1" applyBorder="1" applyAlignment="1" applyProtection="1">
      <alignment horizontal="center" vertical="center"/>
    </xf>
    <xf numFmtId="0" fontId="69" fillId="0" borderId="82" xfId="51" applyFont="1" applyFill="1" applyBorder="1" applyAlignment="1" applyProtection="1">
      <alignment horizontal="center" vertical="center" wrapText="1"/>
    </xf>
    <xf numFmtId="0" fontId="69" fillId="0" borderId="83" xfId="51" applyFont="1" applyFill="1" applyBorder="1" applyAlignment="1" applyProtection="1">
      <alignment horizontal="center" vertical="center" wrapText="1"/>
    </xf>
    <xf numFmtId="0" fontId="69" fillId="0" borderId="84" xfId="51" applyFont="1" applyFill="1" applyBorder="1" applyAlignment="1" applyProtection="1">
      <alignment horizontal="center" vertical="center" wrapText="1"/>
    </xf>
    <xf numFmtId="0" fontId="57" fillId="0" borderId="22" xfId="0" applyFont="1" applyBorder="1" applyAlignment="1" applyProtection="1">
      <alignment horizontal="center" vertical="center"/>
    </xf>
    <xf numFmtId="0" fontId="46" fillId="0" borderId="24" xfId="42" applyFont="1" applyFill="1" applyBorder="1" applyAlignment="1" applyProtection="1">
      <alignment horizontal="right" vertical="center"/>
    </xf>
    <xf numFmtId="0" fontId="46" fillId="0" borderId="18" xfId="42" applyFont="1" applyFill="1" applyBorder="1" applyAlignment="1" applyProtection="1">
      <alignment horizontal="right" vertical="center"/>
    </xf>
    <xf numFmtId="0" fontId="46" fillId="0" borderId="14" xfId="42" applyFont="1" applyFill="1" applyBorder="1" applyAlignment="1" applyProtection="1">
      <alignment horizontal="right" vertical="center"/>
    </xf>
    <xf numFmtId="0" fontId="52" fillId="34" borderId="65" xfId="51" applyFont="1" applyFill="1" applyBorder="1" applyAlignment="1" applyProtection="1">
      <alignment horizontal="right" vertical="center"/>
    </xf>
    <xf numFmtId="0" fontId="52" fillId="34" borderId="66" xfId="51" applyFont="1" applyFill="1" applyBorder="1" applyAlignment="1" applyProtection="1">
      <alignment horizontal="right" vertical="center"/>
    </xf>
    <xf numFmtId="0" fontId="52" fillId="34" borderId="67" xfId="51" applyFont="1" applyFill="1" applyBorder="1" applyAlignment="1" applyProtection="1">
      <alignment horizontal="right" vertical="center"/>
    </xf>
    <xf numFmtId="0" fontId="69" fillId="0" borderId="24" xfId="47" applyFont="1" applyFill="1" applyBorder="1" applyAlignment="1" applyProtection="1">
      <alignment horizontal="center" vertical="center"/>
    </xf>
    <xf numFmtId="0" fontId="69" fillId="0" borderId="18" xfId="47" applyFont="1" applyFill="1" applyBorder="1" applyAlignment="1" applyProtection="1">
      <alignment horizontal="center" vertical="center"/>
    </xf>
    <xf numFmtId="0" fontId="69" fillId="0" borderId="14" xfId="47" applyFont="1" applyFill="1" applyBorder="1" applyAlignment="1" applyProtection="1">
      <alignment horizontal="center" vertical="center"/>
    </xf>
    <xf numFmtId="0" fontId="46" fillId="0" borderId="24" xfId="47" applyFont="1" applyFill="1" applyBorder="1" applyAlignment="1" applyProtection="1">
      <alignment horizontal="right" vertical="center"/>
    </xf>
    <xf numFmtId="0" fontId="46" fillId="0" borderId="18" xfId="47" applyFont="1" applyFill="1" applyBorder="1" applyAlignment="1" applyProtection="1">
      <alignment horizontal="right" vertical="center"/>
    </xf>
    <xf numFmtId="0" fontId="46" fillId="0" borderId="14" xfId="47" applyFont="1" applyFill="1" applyBorder="1" applyAlignment="1" applyProtection="1">
      <alignment horizontal="right" vertical="center"/>
    </xf>
    <xf numFmtId="0" fontId="52" fillId="34" borderId="65" xfId="47" applyFont="1" applyFill="1" applyBorder="1" applyAlignment="1" applyProtection="1">
      <alignment horizontal="right" vertical="center"/>
    </xf>
    <xf numFmtId="0" fontId="52" fillId="34" borderId="66" xfId="47" applyFont="1" applyFill="1" applyBorder="1" applyAlignment="1" applyProtection="1">
      <alignment horizontal="right" vertical="center"/>
    </xf>
    <xf numFmtId="0" fontId="52" fillId="34" borderId="67" xfId="47" applyFont="1" applyFill="1" applyBorder="1" applyAlignment="1" applyProtection="1">
      <alignment horizontal="right" vertical="center"/>
    </xf>
    <xf numFmtId="0" fontId="69" fillId="33" borderId="24" xfId="51" applyFont="1" applyFill="1" applyBorder="1" applyAlignment="1" applyProtection="1">
      <alignment horizontal="center" vertical="center"/>
    </xf>
    <xf numFmtId="0" fontId="69" fillId="33" borderId="18" xfId="51" applyFont="1" applyFill="1" applyBorder="1" applyAlignment="1" applyProtection="1">
      <alignment horizontal="center" vertical="center"/>
    </xf>
    <xf numFmtId="0" fontId="69" fillId="33" borderId="14" xfId="51" applyFont="1" applyFill="1" applyBorder="1" applyAlignment="1" applyProtection="1">
      <alignment horizontal="center" vertical="center"/>
    </xf>
    <xf numFmtId="0" fontId="46" fillId="0" borderId="17" xfId="42" applyFont="1" applyFill="1" applyBorder="1" applyAlignment="1" applyProtection="1">
      <alignment horizontal="right" vertical="center"/>
    </xf>
    <xf numFmtId="0" fontId="52" fillId="34" borderId="26" xfId="47" applyFont="1" applyFill="1" applyBorder="1" applyAlignment="1" applyProtection="1">
      <alignment horizontal="center" vertical="center"/>
    </xf>
    <xf numFmtId="0" fontId="52" fillId="34" borderId="28" xfId="47" applyFont="1" applyFill="1" applyBorder="1" applyAlignment="1" applyProtection="1">
      <alignment horizontal="center" vertical="center"/>
    </xf>
    <xf numFmtId="0" fontId="52" fillId="34" borderId="27" xfId="47" applyFont="1" applyFill="1" applyBorder="1" applyAlignment="1" applyProtection="1">
      <alignment horizontal="center" vertical="center"/>
    </xf>
    <xf numFmtId="0" fontId="52" fillId="34" borderId="74" xfId="47" applyFont="1" applyFill="1" applyBorder="1" applyAlignment="1" applyProtection="1">
      <alignment horizontal="center" vertical="center" wrapText="1"/>
    </xf>
    <xf numFmtId="0" fontId="48" fillId="35" borderId="24" xfId="47" applyFont="1" applyFill="1" applyBorder="1" applyAlignment="1" applyProtection="1">
      <alignment horizontal="center" vertical="center"/>
    </xf>
    <xf numFmtId="0" fontId="48" fillId="35" borderId="14" xfId="47" applyFont="1" applyFill="1" applyBorder="1" applyAlignment="1" applyProtection="1">
      <alignment horizontal="center" vertical="center"/>
    </xf>
    <xf numFmtId="0" fontId="69" fillId="0" borderId="77" xfId="51" applyFont="1" applyFill="1" applyBorder="1" applyAlignment="1" applyProtection="1">
      <alignment horizontal="center" vertical="center"/>
    </xf>
    <xf numFmtId="0" fontId="52" fillId="34" borderId="78" xfId="42" applyFont="1" applyFill="1" applyBorder="1" applyAlignment="1" applyProtection="1">
      <alignment horizontal="center" vertical="center" wrapText="1"/>
    </xf>
    <xf numFmtId="0" fontId="52" fillId="34" borderId="79" xfId="42" applyFont="1" applyFill="1" applyBorder="1" applyAlignment="1" applyProtection="1">
      <alignment horizontal="center" vertical="center" wrapText="1"/>
    </xf>
    <xf numFmtId="0" fontId="69" fillId="0" borderId="20" xfId="47" applyFont="1" applyFill="1" applyBorder="1" applyAlignment="1" applyProtection="1">
      <alignment horizontal="center" vertical="center"/>
    </xf>
    <xf numFmtId="0" fontId="59" fillId="0" borderId="24" xfId="47" applyFont="1" applyFill="1" applyBorder="1" applyAlignment="1" applyProtection="1">
      <alignment horizontal="center" vertical="top"/>
    </xf>
    <xf numFmtId="0" fontId="59" fillId="0" borderId="14" xfId="47" applyFont="1" applyFill="1" applyBorder="1" applyAlignment="1" applyProtection="1">
      <alignment horizontal="center" vertical="top"/>
    </xf>
    <xf numFmtId="0" fontId="51" fillId="33" borderId="24" xfId="51" applyFont="1" applyFill="1" applyBorder="1" applyAlignment="1" applyProtection="1">
      <alignment horizontal="center" vertical="center"/>
      <protection locked="0"/>
    </xf>
    <xf numFmtId="0" fontId="51" fillId="33" borderId="14" xfId="51" applyFont="1" applyFill="1" applyBorder="1" applyAlignment="1" applyProtection="1">
      <alignment horizontal="center" vertical="center"/>
      <protection locked="0"/>
    </xf>
    <xf numFmtId="0" fontId="69" fillId="0" borderId="53" xfId="47" applyFont="1" applyFill="1" applyBorder="1" applyAlignment="1" applyProtection="1">
      <alignment horizontal="center" vertical="center"/>
    </xf>
    <xf numFmtId="0" fontId="52" fillId="34" borderId="65" xfId="30" applyFont="1" applyFill="1" applyBorder="1" applyAlignment="1" applyProtection="1">
      <alignment horizontal="right" vertical="center"/>
    </xf>
    <xf numFmtId="0" fontId="52" fillId="34" borderId="66" xfId="30" applyFont="1" applyFill="1" applyBorder="1" applyAlignment="1" applyProtection="1">
      <alignment horizontal="right" vertical="center"/>
    </xf>
    <xf numFmtId="0" fontId="52" fillId="34" borderId="67" xfId="30" applyFont="1" applyFill="1" applyBorder="1" applyAlignment="1" applyProtection="1">
      <alignment horizontal="right" vertical="center"/>
    </xf>
    <xf numFmtId="173" fontId="47" fillId="0" borderId="24" xfId="30" applyNumberFormat="1" applyFont="1" applyFill="1" applyBorder="1" applyAlignment="1" applyProtection="1">
      <alignment horizontal="center" vertical="center"/>
    </xf>
    <xf numFmtId="173" fontId="47" fillId="0" borderId="14" xfId="30" applyNumberFormat="1" applyFont="1" applyFill="1" applyBorder="1" applyAlignment="1" applyProtection="1">
      <alignment horizontal="center" vertical="center"/>
    </xf>
    <xf numFmtId="0" fontId="67" fillId="0" borderId="0" xfId="0" applyFont="1" applyAlignment="1" applyProtection="1">
      <alignment horizontal="center"/>
    </xf>
    <xf numFmtId="0" fontId="43" fillId="0" borderId="0" xfId="0" applyFont="1" applyAlignment="1" applyProtection="1">
      <alignment horizontal="center"/>
    </xf>
    <xf numFmtId="0" fontId="46" fillId="0" borderId="24" xfId="51" applyFont="1" applyFill="1" applyBorder="1" applyAlignment="1" applyProtection="1">
      <alignment horizontal="right" vertical="center"/>
    </xf>
    <xf numFmtId="0" fontId="46" fillId="0" borderId="14" xfId="51" applyFont="1" applyFill="1" applyBorder="1" applyAlignment="1" applyProtection="1">
      <alignment horizontal="right" vertical="center"/>
    </xf>
    <xf numFmtId="2" fontId="47" fillId="33" borderId="24" xfId="47" applyNumberFormat="1" applyFont="1" applyFill="1" applyBorder="1" applyAlignment="1" applyProtection="1">
      <alignment horizontal="center" vertical="center"/>
    </xf>
    <xf numFmtId="2" fontId="47" fillId="33" borderId="14" xfId="47" applyNumberFormat="1" applyFont="1" applyFill="1" applyBorder="1" applyAlignment="1" applyProtection="1">
      <alignment horizontal="center" vertical="center"/>
    </xf>
    <xf numFmtId="165" fontId="46" fillId="0" borderId="24" xfId="47" applyNumberFormat="1" applyFont="1" applyFill="1" applyBorder="1" applyAlignment="1" applyProtection="1">
      <alignment horizontal="right" vertical="center"/>
    </xf>
    <xf numFmtId="165" fontId="46" fillId="0" borderId="14" xfId="47" applyNumberFormat="1" applyFont="1" applyFill="1" applyBorder="1" applyAlignment="1" applyProtection="1">
      <alignment horizontal="right" vertical="center"/>
    </xf>
    <xf numFmtId="0" fontId="44" fillId="35" borderId="24" xfId="0" applyFont="1" applyFill="1" applyBorder="1" applyAlignment="1" applyProtection="1">
      <alignment horizontal="left" vertical="center"/>
    </xf>
    <xf numFmtId="0" fontId="44" fillId="35" borderId="18" xfId="0" applyFont="1" applyFill="1" applyBorder="1" applyAlignment="1" applyProtection="1">
      <alignment horizontal="left" vertical="center"/>
    </xf>
    <xf numFmtId="0" fontId="44" fillId="35" borderId="14" xfId="0" applyFont="1" applyFill="1" applyBorder="1" applyAlignment="1" applyProtection="1">
      <alignment horizontal="left" vertical="center"/>
    </xf>
    <xf numFmtId="2" fontId="51" fillId="33" borderId="24" xfId="7" applyNumberFormat="1" applyFont="1" applyFill="1" applyBorder="1" applyAlignment="1" applyProtection="1">
      <alignment horizontal="center" vertical="center"/>
    </xf>
    <xf numFmtId="2" fontId="51" fillId="33" borderId="14" xfId="7" applyNumberFormat="1" applyFont="1" applyFill="1" applyBorder="1" applyAlignment="1" applyProtection="1">
      <alignment horizontal="center" vertical="center"/>
    </xf>
    <xf numFmtId="1" fontId="51" fillId="33" borderId="24" xfId="7" applyNumberFormat="1" applyFont="1" applyFill="1" applyBorder="1" applyAlignment="1" applyProtection="1">
      <alignment horizontal="center" vertical="center"/>
    </xf>
    <xf numFmtId="1" fontId="51" fillId="33" borderId="14" xfId="7" applyNumberFormat="1" applyFont="1" applyFill="1" applyBorder="1" applyAlignment="1" applyProtection="1">
      <alignment horizontal="center" vertical="center"/>
    </xf>
    <xf numFmtId="167" fontId="42" fillId="33" borderId="24" xfId="7" applyNumberFormat="1" applyFont="1" applyFill="1" applyBorder="1" applyAlignment="1" applyProtection="1">
      <alignment horizontal="center" vertical="center"/>
      <protection locked="0"/>
    </xf>
    <xf numFmtId="167" fontId="42" fillId="33" borderId="14" xfId="7" applyNumberFormat="1" applyFont="1" applyFill="1" applyBorder="1" applyAlignment="1" applyProtection="1">
      <alignment horizontal="center" vertical="center"/>
      <protection locked="0"/>
    </xf>
    <xf numFmtId="0" fontId="10" fillId="35" borderId="24" xfId="42" applyFont="1" applyFill="1" applyBorder="1" applyAlignment="1" applyProtection="1">
      <alignment horizontal="left" vertical="center"/>
    </xf>
    <xf numFmtId="0" fontId="10" fillId="35" borderId="18" xfId="42" applyFont="1" applyFill="1" applyBorder="1" applyAlignment="1" applyProtection="1">
      <alignment horizontal="left" vertical="center"/>
    </xf>
    <xf numFmtId="0" fontId="10" fillId="35" borderId="14" xfId="42" applyFont="1" applyFill="1" applyBorder="1" applyAlignment="1" applyProtection="1">
      <alignment horizontal="left" vertical="center"/>
    </xf>
    <xf numFmtId="167" fontId="42" fillId="33" borderId="18" xfId="7" applyNumberFormat="1" applyFont="1" applyFill="1" applyBorder="1" applyAlignment="1" applyProtection="1">
      <alignment horizontal="center" vertical="center"/>
      <protection locked="0"/>
    </xf>
    <xf numFmtId="167" fontId="42" fillId="33" borderId="31" xfId="7" applyNumberFormat="1" applyFont="1" applyFill="1" applyBorder="1" applyAlignment="1" applyProtection="1">
      <alignment horizontal="center" vertical="center"/>
      <protection locked="0"/>
    </xf>
    <xf numFmtId="167" fontId="42" fillId="33" borderId="23" xfId="7" applyNumberFormat="1" applyFont="1" applyFill="1" applyBorder="1" applyAlignment="1" applyProtection="1">
      <alignment horizontal="center" vertical="center"/>
      <protection locked="0"/>
    </xf>
    <xf numFmtId="167" fontId="42" fillId="33" borderId="85" xfId="7" applyNumberFormat="1" applyFont="1" applyFill="1" applyBorder="1" applyAlignment="1" applyProtection="1">
      <alignment horizontal="center" vertical="center"/>
      <protection locked="0"/>
    </xf>
    <xf numFmtId="167" fontId="42" fillId="33" borderId="86" xfId="7" applyNumberFormat="1" applyFont="1" applyFill="1" applyBorder="1" applyAlignment="1" applyProtection="1">
      <alignment horizontal="center" vertical="center"/>
      <protection locked="0"/>
    </xf>
    <xf numFmtId="0" fontId="46" fillId="0" borderId="25" xfId="0" applyFont="1" applyBorder="1" applyAlignment="1" applyProtection="1">
      <alignment horizontal="right"/>
    </xf>
    <xf numFmtId="0" fontId="46" fillId="0" borderId="21" xfId="0" applyFont="1" applyBorder="1" applyAlignment="1" applyProtection="1">
      <alignment horizontal="right"/>
    </xf>
    <xf numFmtId="0" fontId="46" fillId="0" borderId="24" xfId="0" applyFont="1" applyBorder="1" applyAlignment="1" applyProtection="1">
      <alignment horizontal="right"/>
    </xf>
    <xf numFmtId="0" fontId="46" fillId="0" borderId="14" xfId="0" applyFont="1" applyBorder="1" applyAlignment="1" applyProtection="1">
      <alignment horizontal="right"/>
    </xf>
    <xf numFmtId="0" fontId="46" fillId="0" borderId="15" xfId="0" applyFont="1" applyBorder="1" applyAlignment="1" applyProtection="1">
      <alignment horizontal="right"/>
    </xf>
    <xf numFmtId="0" fontId="46" fillId="0" borderId="16" xfId="0" applyFont="1" applyBorder="1" applyAlignment="1" applyProtection="1">
      <alignment horizontal="right"/>
    </xf>
    <xf numFmtId="0" fontId="46" fillId="0" borderId="17" xfId="0" applyFont="1" applyBorder="1" applyAlignment="1" applyProtection="1">
      <alignment horizontal="right" vertical="center"/>
    </xf>
    <xf numFmtId="0" fontId="46" fillId="0" borderId="31" xfId="0" applyFont="1" applyBorder="1" applyAlignment="1" applyProtection="1">
      <alignment horizontal="right"/>
    </xf>
    <xf numFmtId="0" fontId="46" fillId="0" borderId="23" xfId="0" applyFont="1" applyBorder="1" applyAlignment="1" applyProtection="1">
      <alignment horizontal="right"/>
    </xf>
    <xf numFmtId="170" fontId="43" fillId="0" borderId="24" xfId="0" applyNumberFormat="1" applyFont="1" applyBorder="1" applyAlignment="1" applyProtection="1">
      <alignment horizontal="center"/>
    </xf>
    <xf numFmtId="170" fontId="43" fillId="0" borderId="14" xfId="0" applyNumberFormat="1" applyFont="1" applyBorder="1" applyAlignment="1" applyProtection="1">
      <alignment horizontal="center"/>
    </xf>
    <xf numFmtId="0" fontId="43" fillId="0" borderId="31" xfId="0" applyFont="1" applyFill="1" applyBorder="1" applyAlignment="1" applyProtection="1">
      <alignment horizontal="left" vertical="center"/>
    </xf>
    <xf numFmtId="0" fontId="43" fillId="0" borderId="22" xfId="0" applyFont="1" applyFill="1" applyBorder="1" applyAlignment="1" applyProtection="1">
      <alignment horizontal="left" vertical="center"/>
    </xf>
    <xf numFmtId="0" fontId="43" fillId="0" borderId="23" xfId="0" applyFont="1" applyFill="1" applyBorder="1" applyAlignment="1" applyProtection="1">
      <alignment horizontal="left" vertical="center"/>
    </xf>
    <xf numFmtId="0" fontId="43" fillId="0" borderId="24" xfId="0" applyFont="1" applyFill="1" applyBorder="1" applyAlignment="1" applyProtection="1">
      <alignment horizontal="left" vertical="center"/>
    </xf>
    <xf numFmtId="0" fontId="43" fillId="0" borderId="18" xfId="0" applyFont="1" applyFill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left" vertical="center"/>
    </xf>
    <xf numFmtId="0" fontId="62" fillId="0" borderId="24" xfId="0" applyFont="1" applyFill="1" applyBorder="1" applyAlignment="1" applyProtection="1">
      <alignment horizontal="left" vertical="center"/>
    </xf>
    <xf numFmtId="0" fontId="62" fillId="0" borderId="18" xfId="0" applyFont="1" applyFill="1" applyBorder="1" applyAlignment="1" applyProtection="1">
      <alignment horizontal="left" vertical="center"/>
    </xf>
    <xf numFmtId="0" fontId="62" fillId="0" borderId="14" xfId="0" applyFont="1" applyFill="1" applyBorder="1" applyAlignment="1" applyProtection="1">
      <alignment horizontal="left" vertical="center"/>
    </xf>
    <xf numFmtId="0" fontId="42" fillId="35" borderId="24" xfId="0" applyFont="1" applyFill="1" applyBorder="1" applyAlignment="1" applyProtection="1">
      <alignment horizontal="center" vertical="center"/>
    </xf>
    <xf numFmtId="0" fontId="42" fillId="35" borderId="14" xfId="0" applyFont="1" applyFill="1" applyBorder="1" applyAlignment="1" applyProtection="1">
      <alignment horizontal="center" vertical="center"/>
    </xf>
    <xf numFmtId="0" fontId="43" fillId="0" borderId="20" xfId="0" applyFont="1" applyBorder="1" applyAlignment="1" applyProtection="1">
      <alignment horizontal="center"/>
    </xf>
    <xf numFmtId="0" fontId="43" fillId="0" borderId="21" xfId="0" applyFont="1" applyBorder="1" applyAlignment="1" applyProtection="1">
      <alignment horizontal="center"/>
    </xf>
    <xf numFmtId="0" fontId="43" fillId="0" borderId="22" xfId="0" applyFont="1" applyBorder="1" applyAlignment="1" applyProtection="1">
      <alignment horizontal="center"/>
    </xf>
    <xf numFmtId="0" fontId="43" fillId="0" borderId="23" xfId="0" applyFont="1" applyBorder="1" applyAlignment="1" applyProtection="1">
      <alignment horizontal="center"/>
    </xf>
    <xf numFmtId="0" fontId="67" fillId="0" borderId="24" xfId="0" applyFont="1" applyBorder="1" applyAlignment="1" applyProtection="1">
      <alignment horizontal="left"/>
    </xf>
    <xf numFmtId="0" fontId="67" fillId="0" borderId="18" xfId="0" applyFont="1" applyBorder="1" applyAlignment="1" applyProtection="1">
      <alignment horizontal="left"/>
    </xf>
    <xf numFmtId="0" fontId="69" fillId="0" borderId="24" xfId="0" applyFont="1" applyBorder="1" applyAlignment="1" applyProtection="1">
      <alignment horizontal="center" vertical="center"/>
    </xf>
    <xf numFmtId="0" fontId="69" fillId="0" borderId="18" xfId="0" applyFont="1" applyBorder="1" applyAlignment="1" applyProtection="1">
      <alignment horizontal="center" vertical="center"/>
    </xf>
    <xf numFmtId="0" fontId="69" fillId="0" borderId="14" xfId="0" applyFont="1" applyBorder="1" applyAlignment="1" applyProtection="1">
      <alignment horizontal="center" vertical="center"/>
    </xf>
    <xf numFmtId="0" fontId="69" fillId="0" borderId="22" xfId="0" applyFont="1" applyBorder="1" applyAlignment="1" applyProtection="1">
      <alignment horizontal="right" vertical="center"/>
    </xf>
    <xf numFmtId="0" fontId="69" fillId="0" borderId="23" xfId="0" applyFont="1" applyBorder="1" applyAlignment="1" applyProtection="1">
      <alignment horizontal="right" vertical="center"/>
    </xf>
    <xf numFmtId="0" fontId="67" fillId="0" borderId="0" xfId="0" applyFont="1" applyAlignment="1" applyProtection="1">
      <alignment horizontal="left"/>
    </xf>
    <xf numFmtId="0" fontId="69" fillId="0" borderId="87" xfId="0" applyFont="1" applyBorder="1" applyAlignment="1" applyProtection="1">
      <alignment horizontal="center" vertical="center"/>
    </xf>
    <xf numFmtId="0" fontId="67" fillId="0" borderId="0" xfId="0" applyFont="1" applyBorder="1" applyAlignment="1" applyProtection="1">
      <alignment horizontal="left" vertical="center"/>
    </xf>
    <xf numFmtId="10" fontId="77" fillId="33" borderId="18" xfId="0" applyNumberFormat="1" applyFont="1" applyFill="1" applyBorder="1" applyAlignment="1" applyProtection="1">
      <alignment horizontal="left" vertical="center"/>
    </xf>
    <xf numFmtId="10" fontId="77" fillId="33" borderId="14" xfId="0" applyNumberFormat="1" applyFont="1" applyFill="1" applyBorder="1" applyAlignment="1" applyProtection="1">
      <alignment horizontal="left" vertical="center"/>
    </xf>
    <xf numFmtId="1" fontId="77" fillId="33" borderId="18" xfId="0" applyNumberFormat="1" applyFont="1" applyFill="1" applyBorder="1" applyAlignment="1" applyProtection="1">
      <alignment horizontal="left" vertical="center"/>
    </xf>
    <xf numFmtId="1" fontId="77" fillId="33" borderId="14" xfId="0" applyNumberFormat="1" applyFont="1" applyFill="1" applyBorder="1" applyAlignment="1" applyProtection="1">
      <alignment horizontal="left" vertical="center"/>
    </xf>
    <xf numFmtId="0" fontId="67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1" fontId="61" fillId="0" borderId="15" xfId="0" applyNumberFormat="1" applyFont="1" applyBorder="1" applyAlignment="1" applyProtection="1">
      <alignment horizontal="left" vertical="center"/>
    </xf>
    <xf numFmtId="1" fontId="61" fillId="0" borderId="0" xfId="0" applyNumberFormat="1" applyFont="1" applyBorder="1" applyAlignment="1" applyProtection="1">
      <alignment horizontal="left" vertical="center"/>
    </xf>
    <xf numFmtId="1" fontId="61" fillId="0" borderId="16" xfId="0" applyNumberFormat="1" applyFont="1" applyBorder="1" applyAlignment="1" applyProtection="1">
      <alignment horizontal="left" vertical="center"/>
    </xf>
    <xf numFmtId="0" fontId="69" fillId="0" borderId="15" xfId="0" applyNumberFormat="1" applyFont="1" applyBorder="1" applyAlignment="1" applyProtection="1">
      <alignment horizontal="left" vertical="center"/>
    </xf>
    <xf numFmtId="0" fontId="69" fillId="0" borderId="0" xfId="0" applyNumberFormat="1" applyFont="1" applyBorder="1" applyAlignment="1" applyProtection="1">
      <alignment horizontal="left" vertical="center"/>
    </xf>
    <xf numFmtId="0" fontId="69" fillId="0" borderId="16" xfId="0" applyNumberFormat="1" applyFont="1" applyBorder="1" applyAlignment="1" applyProtection="1">
      <alignment horizontal="left" vertical="center"/>
    </xf>
    <xf numFmtId="170" fontId="61" fillId="0" borderId="15" xfId="0" applyNumberFormat="1" applyFont="1" applyBorder="1" applyAlignment="1" applyProtection="1">
      <alignment horizontal="left" vertical="center"/>
    </xf>
    <xf numFmtId="170" fontId="61" fillId="0" borderId="0" xfId="0" applyNumberFormat="1" applyFont="1" applyBorder="1" applyAlignment="1" applyProtection="1">
      <alignment horizontal="left" vertical="center"/>
    </xf>
    <xf numFmtId="170" fontId="61" fillId="0" borderId="16" xfId="0" applyNumberFormat="1" applyFont="1" applyBorder="1" applyAlignment="1" applyProtection="1">
      <alignment horizontal="left" vertical="center"/>
    </xf>
    <xf numFmtId="1" fontId="69" fillId="0" borderId="15" xfId="0" applyNumberFormat="1" applyFont="1" applyBorder="1" applyAlignment="1" applyProtection="1">
      <alignment horizontal="left" vertical="center"/>
    </xf>
    <xf numFmtId="1" fontId="69" fillId="0" borderId="0" xfId="0" applyNumberFormat="1" applyFont="1" applyBorder="1" applyAlignment="1" applyProtection="1">
      <alignment horizontal="left" vertical="center"/>
    </xf>
    <xf numFmtId="1" fontId="69" fillId="0" borderId="16" xfId="0" applyNumberFormat="1" applyFont="1" applyBorder="1" applyAlignment="1" applyProtection="1">
      <alignment horizontal="left" vertical="center"/>
    </xf>
    <xf numFmtId="0" fontId="61" fillId="0" borderId="15" xfId="0" applyNumberFormat="1" applyFont="1" applyBorder="1" applyAlignment="1" applyProtection="1">
      <alignment horizontal="left" vertical="center"/>
    </xf>
    <xf numFmtId="0" fontId="61" fillId="0" borderId="0" xfId="0" applyNumberFormat="1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0" fillId="0" borderId="16" xfId="0" applyBorder="1" applyAlignment="1" applyProtection="1">
      <alignment vertical="center"/>
    </xf>
    <xf numFmtId="165" fontId="61" fillId="0" borderId="15" xfId="0" applyNumberFormat="1" applyFont="1" applyBorder="1" applyAlignment="1" applyProtection="1">
      <alignment horizontal="left" vertical="center"/>
    </xf>
    <xf numFmtId="165" fontId="61" fillId="0" borderId="0" xfId="0" applyNumberFormat="1" applyFont="1" applyBorder="1" applyAlignment="1" applyProtection="1">
      <alignment horizontal="left" vertical="center"/>
    </xf>
    <xf numFmtId="165" fontId="61" fillId="0" borderId="16" xfId="0" applyNumberFormat="1" applyFont="1" applyBorder="1" applyAlignment="1" applyProtection="1">
      <alignment horizontal="left" vertical="center"/>
    </xf>
    <xf numFmtId="168" fontId="61" fillId="0" borderId="15" xfId="0" applyNumberFormat="1" applyFont="1" applyBorder="1" applyAlignment="1" applyProtection="1">
      <alignment horizontal="left" vertical="center"/>
    </xf>
    <xf numFmtId="168" fontId="61" fillId="0" borderId="0" xfId="0" applyNumberFormat="1" applyFont="1" applyBorder="1" applyAlignment="1" applyProtection="1">
      <alignment horizontal="left" vertical="center"/>
    </xf>
    <xf numFmtId="168" fontId="61" fillId="0" borderId="16" xfId="0" applyNumberFormat="1" applyFont="1" applyBorder="1" applyAlignment="1" applyProtection="1">
      <alignment horizontal="left" vertical="center"/>
    </xf>
    <xf numFmtId="0" fontId="61" fillId="0" borderId="0" xfId="0" applyFont="1" applyBorder="1" applyAlignment="1" applyProtection="1">
      <alignment horizontal="center" vertical="center"/>
    </xf>
    <xf numFmtId="0" fontId="69" fillId="0" borderId="15" xfId="0" applyNumberFormat="1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vertical="center"/>
    </xf>
    <xf numFmtId="0" fontId="0" fillId="0" borderId="16" xfId="0" applyFill="1" applyBorder="1" applyAlignment="1" applyProtection="1">
      <alignment vertical="center"/>
    </xf>
    <xf numFmtId="9" fontId="61" fillId="0" borderId="0" xfId="0" applyNumberFormat="1" applyFont="1" applyBorder="1" applyAlignment="1" applyProtection="1">
      <alignment horizontal="center" vertical="center"/>
    </xf>
    <xf numFmtId="0" fontId="61" fillId="0" borderId="15" xfId="0" applyFont="1" applyBorder="1" applyAlignment="1" applyProtection="1">
      <alignment horizontal="left" vertical="center"/>
    </xf>
    <xf numFmtId="0" fontId="61" fillId="0" borderId="0" xfId="0" applyFont="1" applyBorder="1" applyAlignment="1" applyProtection="1">
      <alignment horizontal="left" vertical="center"/>
    </xf>
    <xf numFmtId="0" fontId="61" fillId="0" borderId="16" xfId="0" applyFont="1" applyBorder="1" applyAlignment="1" applyProtection="1">
      <alignment horizontal="left" vertical="center"/>
    </xf>
    <xf numFmtId="9" fontId="61" fillId="0" borderId="16" xfId="0" applyNumberFormat="1" applyFont="1" applyBorder="1" applyAlignment="1" applyProtection="1">
      <alignment horizontal="center" vertical="center"/>
    </xf>
    <xf numFmtId="0" fontId="69" fillId="0" borderId="0" xfId="0" applyFont="1" applyFill="1" applyBorder="1" applyAlignment="1" applyProtection="1">
      <alignment horizontal="center" vertical="center"/>
    </xf>
    <xf numFmtId="9" fontId="61" fillId="0" borderId="0" xfId="47" applyNumberFormat="1" applyFont="1" applyFill="1" applyBorder="1" applyAlignment="1" applyProtection="1">
      <alignment horizontal="center" vertical="center"/>
    </xf>
    <xf numFmtId="0" fontId="61" fillId="0" borderId="16" xfId="0" applyFont="1" applyBorder="1" applyAlignment="1" applyProtection="1">
      <alignment horizontal="center" vertical="center"/>
    </xf>
    <xf numFmtId="0" fontId="57" fillId="33" borderId="15" xfId="0" applyFont="1" applyFill="1" applyBorder="1" applyAlignment="1" applyProtection="1">
      <alignment horizontal="right" vertical="center"/>
    </xf>
    <xf numFmtId="0" fontId="57" fillId="33" borderId="0" xfId="0" applyFont="1" applyFill="1" applyBorder="1" applyAlignment="1" applyProtection="1">
      <alignment horizontal="right" vertical="center"/>
    </xf>
    <xf numFmtId="0" fontId="43" fillId="33" borderId="0" xfId="0" applyFont="1" applyFill="1" applyBorder="1" applyAlignment="1" applyProtection="1">
      <alignment horizontal="left" vertical="center"/>
    </xf>
    <xf numFmtId="0" fontId="43" fillId="33" borderId="16" xfId="0" applyFont="1" applyFill="1" applyBorder="1" applyAlignment="1" applyProtection="1">
      <alignment horizontal="left" vertical="center"/>
    </xf>
    <xf numFmtId="0" fontId="67" fillId="0" borderId="88" xfId="0" applyFont="1" applyBorder="1" applyAlignment="1" applyProtection="1">
      <alignment horizontal="center" vertical="center"/>
    </xf>
    <xf numFmtId="0" fontId="67" fillId="0" borderId="89" xfId="0" applyFont="1" applyBorder="1" applyAlignment="1" applyProtection="1">
      <alignment horizontal="center" vertical="center"/>
    </xf>
    <xf numFmtId="0" fontId="67" fillId="0" borderId="90" xfId="0" applyFont="1" applyBorder="1" applyAlignment="1" applyProtection="1">
      <alignment horizontal="center" vertical="center"/>
    </xf>
    <xf numFmtId="0" fontId="45" fillId="39" borderId="88" xfId="30" applyFont="1" applyFill="1" applyBorder="1" applyAlignment="1" applyProtection="1">
      <alignment horizontal="left" vertical="center"/>
    </xf>
    <xf numFmtId="0" fontId="45" fillId="39" borderId="89" xfId="30" applyFont="1" applyFill="1" applyBorder="1" applyAlignment="1" applyProtection="1">
      <alignment horizontal="left" vertical="center"/>
    </xf>
    <xf numFmtId="0" fontId="45" fillId="39" borderId="90" xfId="30" applyFont="1" applyFill="1" applyBorder="1" applyAlignment="1" applyProtection="1">
      <alignment horizontal="left" vertical="center"/>
    </xf>
    <xf numFmtId="0" fontId="69" fillId="0" borderId="16" xfId="0" applyFont="1" applyFill="1" applyBorder="1" applyAlignment="1" applyProtection="1">
      <alignment horizontal="center" vertical="center"/>
    </xf>
    <xf numFmtId="0" fontId="63" fillId="33" borderId="24" xfId="41" applyFont="1" applyFill="1" applyBorder="1" applyAlignment="1" applyProtection="1">
      <alignment horizontal="center" vertical="center"/>
    </xf>
    <xf numFmtId="0" fontId="35" fillId="33" borderId="18" xfId="41" applyFill="1" applyBorder="1" applyAlignment="1" applyProtection="1">
      <alignment horizontal="center" vertical="center"/>
    </xf>
    <xf numFmtId="0" fontId="35" fillId="33" borderId="14" xfId="41" applyFill="1" applyBorder="1" applyAlignment="1" applyProtection="1">
      <alignment horizontal="center" vertical="center"/>
    </xf>
    <xf numFmtId="0" fontId="0" fillId="0" borderId="0" xfId="0" applyProtection="1"/>
    <xf numFmtId="1" fontId="52" fillId="34" borderId="53" xfId="0" applyNumberFormat="1" applyFont="1" applyFill="1" applyBorder="1" applyAlignment="1" applyProtection="1">
      <alignment horizontal="center" vertical="center" wrapText="1"/>
    </xf>
    <xf numFmtId="1" fontId="52" fillId="34" borderId="19" xfId="0" applyNumberFormat="1" applyFont="1" applyFill="1" applyBorder="1" applyAlignment="1" applyProtection="1">
      <alignment horizontal="center" vertical="center" wrapText="1"/>
    </xf>
    <xf numFmtId="169" fontId="51" fillId="33" borderId="17" xfId="7" applyNumberFormat="1" applyFont="1" applyFill="1" applyBorder="1" applyAlignment="1" applyProtection="1">
      <alignment horizontal="center" vertical="center"/>
    </xf>
    <xf numFmtId="0" fontId="46" fillId="0" borderId="24" xfId="42" applyFont="1" applyFill="1" applyBorder="1" applyAlignment="1" applyProtection="1">
      <alignment horizontal="left" vertical="center"/>
    </xf>
    <xf numFmtId="0" fontId="46" fillId="0" borderId="18" xfId="42" applyFont="1" applyFill="1" applyBorder="1" applyAlignment="1" applyProtection="1">
      <alignment horizontal="left" vertical="center"/>
    </xf>
    <xf numFmtId="0" fontId="46" fillId="0" borderId="14" xfId="42" applyFont="1" applyFill="1" applyBorder="1" applyAlignment="1" applyProtection="1">
      <alignment horizontal="left" vertical="center"/>
    </xf>
    <xf numFmtId="0" fontId="0" fillId="0" borderId="0" xfId="0" applyNumberFormat="1" applyAlignment="1" applyProtection="1">
      <alignment horizontal="center"/>
    </xf>
    <xf numFmtId="0" fontId="45" fillId="40" borderId="91" xfId="45" applyFont="1" applyFill="1" applyBorder="1" applyAlignment="1" applyProtection="1">
      <alignment horizontal="left" vertical="top"/>
    </xf>
    <xf numFmtId="0" fontId="69" fillId="0" borderId="24" xfId="0" applyFont="1" applyFill="1" applyBorder="1" applyAlignment="1" applyProtection="1">
      <alignment horizontal="center" vertical="center"/>
    </xf>
    <xf numFmtId="0" fontId="69" fillId="0" borderId="14" xfId="0" applyFont="1" applyFill="1" applyBorder="1" applyAlignment="1" applyProtection="1">
      <alignment horizontal="center" vertical="center"/>
    </xf>
    <xf numFmtId="0" fontId="69" fillId="0" borderId="17" xfId="0" applyFont="1" applyFill="1" applyBorder="1" applyAlignment="1" applyProtection="1">
      <alignment horizontal="center" vertical="center"/>
    </xf>
    <xf numFmtId="2" fontId="57" fillId="0" borderId="0" xfId="0" applyNumberFormat="1" applyFont="1" applyAlignment="1" applyProtection="1">
      <alignment horizontal="center"/>
    </xf>
    <xf numFmtId="9" fontId="57" fillId="0" borderId="0" xfId="0" applyNumberFormat="1" applyFont="1" applyAlignment="1" applyProtection="1">
      <alignment horizontal="center"/>
    </xf>
    <xf numFmtId="165" fontId="57" fillId="0" borderId="0" xfId="0" applyNumberFormat="1" applyFont="1" applyAlignment="1" applyProtection="1">
      <alignment horizontal="center"/>
    </xf>
    <xf numFmtId="9" fontId="47" fillId="0" borderId="17" xfId="55" applyFont="1" applyBorder="1" applyAlignment="1" applyProtection="1">
      <alignment horizontal="center" vertical="center"/>
    </xf>
    <xf numFmtId="9" fontId="47" fillId="0" borderId="17" xfId="55" applyNumberFormat="1" applyFont="1" applyBorder="1" applyAlignment="1" applyProtection="1">
      <alignment horizontal="center" vertical="center"/>
    </xf>
    <xf numFmtId="2" fontId="51" fillId="33" borderId="24" xfId="0" applyNumberFormat="1" applyFont="1" applyFill="1" applyBorder="1" applyAlignment="1" applyProtection="1">
      <alignment horizontal="right" vertical="center"/>
    </xf>
    <xf numFmtId="2" fontId="0" fillId="0" borderId="0" xfId="0" applyNumberFormat="1" applyAlignment="1" applyProtection="1">
      <alignment vertical="center"/>
    </xf>
    <xf numFmtId="165" fontId="57" fillId="0" borderId="0" xfId="0" applyNumberFormat="1" applyFont="1" applyFill="1" applyBorder="1" applyProtection="1"/>
  </cellXfs>
  <cellStyles count="64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" xfId="7" builtinId="31"/>
    <cellStyle name="40% - Accent1 2" xfId="8"/>
    <cellStyle name="40% - Accent2" xfId="9" builtinId="35"/>
    <cellStyle name="40% - Accent2 2" xfId="10"/>
    <cellStyle name="40% - Accent3" xfId="11" builtinId="39"/>
    <cellStyle name="40% - Accent3 2" xfId="12"/>
    <cellStyle name="40% - Accent4 2" xfId="13"/>
    <cellStyle name="40% - Accent5" xfId="14" builtinId="47"/>
    <cellStyle name="40% - Accent5 2" xfId="15"/>
    <cellStyle name="40% - Accent6 2" xfId="16"/>
    <cellStyle name="60% - Accent1 2" xfId="17"/>
    <cellStyle name="60% - Accent2 2" xfId="18"/>
    <cellStyle name="60% - Accent3 2" xfId="19"/>
    <cellStyle name="60% - Accent4 2" xfId="20"/>
    <cellStyle name="60% - Accent5 2" xfId="21"/>
    <cellStyle name="60% - Accent6 2" xfId="22"/>
    <cellStyle name="Accent1 2" xfId="23"/>
    <cellStyle name="Accent2 2" xfId="24"/>
    <cellStyle name="Accent3 2" xfId="25"/>
    <cellStyle name="Accent4 2" xfId="26"/>
    <cellStyle name="Accent5 2" xfId="27"/>
    <cellStyle name="Accent6 2" xfId="28"/>
    <cellStyle name="Bad 2" xfId="29"/>
    <cellStyle name="Calculation" xfId="30" builtinId="22"/>
    <cellStyle name="Calculation 2" xfId="31"/>
    <cellStyle name="Check Cell 2" xfId="32"/>
    <cellStyle name="Explanatory Text 2" xfId="33"/>
    <cellStyle name="Good 2" xfId="34"/>
    <cellStyle name="Heading" xfId="35"/>
    <cellStyle name="Heading 1 2" xfId="36"/>
    <cellStyle name="Heading 2 2" xfId="37"/>
    <cellStyle name="Heading 3 2" xfId="38"/>
    <cellStyle name="Heading 4 2" xfId="39"/>
    <cellStyle name="Heading1" xfId="40"/>
    <cellStyle name="Hyperlink" xfId="41" builtinId="8"/>
    <cellStyle name="Hyperlink 2" xfId="62"/>
    <cellStyle name="Input" xfId="42" builtinId="20"/>
    <cellStyle name="Input 2" xfId="43"/>
    <cellStyle name="Linked Cell 2" xfId="44"/>
    <cellStyle name="Neutral" xfId="45" builtinId="28"/>
    <cellStyle name="Neutral 2" xfId="46"/>
    <cellStyle name="Normal" xfId="0" builtinId="0"/>
    <cellStyle name="Normal 2" xfId="47"/>
    <cellStyle name="Normal 2 2" xfId="63"/>
    <cellStyle name="Normal 3" xfId="48"/>
    <cellStyle name="Normal 4" xfId="49"/>
    <cellStyle name="Normal 5" xfId="50"/>
    <cellStyle name="Normal 6" xfId="61"/>
    <cellStyle name="Note" xfId="51" builtinId="10"/>
    <cellStyle name="Note 2" xfId="52"/>
    <cellStyle name="Output" xfId="53" builtinId="21"/>
    <cellStyle name="Output 2" xfId="54"/>
    <cellStyle name="Percent" xfId="55" builtinId="5"/>
    <cellStyle name="Result" xfId="56"/>
    <cellStyle name="Result2" xfId="57"/>
    <cellStyle name="Title 2" xfId="58"/>
    <cellStyle name="Total 2" xfId="59"/>
    <cellStyle name="Warning Text 2" xfId="60"/>
  </cellStyles>
  <dxfs count="152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65" formatCode="0.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65" formatCode="0.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65" formatCode="0.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65" formatCode="0.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65" formatCode="0.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75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b/>
        <i val="0"/>
        <color theme="4" tint="0.79998168889431442"/>
      </font>
      <fill>
        <patternFill>
          <bgColor rgb="FF0070C0"/>
        </patternFill>
      </fill>
    </dxf>
    <dxf>
      <font>
        <b/>
        <i val="0"/>
        <color theme="8" tint="0.79998168889431442"/>
      </font>
      <fill>
        <patternFill>
          <bgColor rgb="FF00B0F0"/>
        </patternFill>
      </fill>
    </dxf>
    <dxf>
      <font>
        <b/>
        <i val="0"/>
        <color theme="6" tint="0.79998168889431442"/>
      </font>
      <fill>
        <patternFill>
          <bgColor rgb="FF00B050"/>
        </patternFill>
      </fill>
    </dxf>
    <dxf>
      <font>
        <b/>
        <i val="0"/>
        <color theme="9" tint="0.79998168889431442"/>
      </font>
      <fill>
        <patternFill>
          <bgColor rgb="FFFFC000"/>
        </patternFill>
      </fill>
    </dxf>
    <dxf>
      <font>
        <b/>
        <i val="0"/>
        <color theme="9" tint="0.79998168889431442"/>
      </font>
      <fill>
        <patternFill>
          <bgColor theme="9" tint="-0.24994659260841701"/>
        </patternFill>
      </fill>
    </dxf>
    <dxf>
      <font>
        <b/>
        <i val="0"/>
        <color theme="5" tint="0.79998168889431442"/>
      </font>
      <fill>
        <patternFill>
          <bgColor rgb="FFC00000"/>
        </patternFill>
      </fill>
    </dxf>
    <dxf>
      <font>
        <b/>
        <i val="0"/>
        <color theme="7" tint="0.79998168889431442"/>
      </font>
      <fill>
        <patternFill>
          <bgColor rgb="FF7030A0"/>
        </patternFill>
      </fill>
    </dxf>
    <dxf>
      <font>
        <b/>
        <i val="0"/>
        <color theme="0" tint="-0.24994659260841701"/>
      </font>
      <fill>
        <patternFill>
          <bgColor theme="1" tint="0.24994659260841701"/>
        </patternFill>
      </fill>
    </dxf>
    <dxf>
      <font>
        <b/>
        <i val="0"/>
        <color theme="6" tint="0.79998168889431442"/>
      </font>
      <fill>
        <patternFill>
          <bgColor theme="6"/>
        </patternFill>
      </fill>
    </dxf>
    <dxf>
      <font>
        <b/>
        <i val="0"/>
        <color theme="9" tint="0.79998168889431442"/>
      </font>
      <fill>
        <patternFill>
          <bgColor theme="9"/>
        </patternFill>
      </fill>
    </dxf>
    <dxf>
      <font>
        <b/>
        <i val="0"/>
        <color theme="5" tint="0.79998168889431442"/>
      </font>
      <fill>
        <patternFill>
          <bgColor rgb="FFFF0000"/>
        </patternFill>
      </fill>
    </dxf>
    <dxf>
      <font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color theme="0"/>
      </font>
    </dxf>
    <dxf>
      <font>
        <strike val="0"/>
        <color theme="0"/>
      </font>
    </dxf>
    <dxf>
      <font>
        <color theme="0"/>
      </font>
    </dxf>
    <dxf>
      <font>
        <b/>
        <i val="0"/>
        <color theme="4" tint="0.79998168889431442"/>
      </font>
      <fill>
        <patternFill>
          <bgColor rgb="FF0070C0"/>
        </patternFill>
      </fill>
    </dxf>
    <dxf>
      <font>
        <b/>
        <i val="0"/>
        <color theme="8" tint="0.79998168889431442"/>
      </font>
      <fill>
        <patternFill>
          <bgColor rgb="FF00B0F0"/>
        </patternFill>
      </fill>
    </dxf>
    <dxf>
      <font>
        <b/>
        <i val="0"/>
        <color theme="6" tint="0.79998168889431442"/>
      </font>
      <fill>
        <patternFill>
          <bgColor rgb="FF00B050"/>
        </patternFill>
      </fill>
    </dxf>
    <dxf>
      <font>
        <b/>
        <i val="0"/>
        <color theme="9" tint="0.79998168889431442"/>
      </font>
      <fill>
        <patternFill>
          <bgColor rgb="FFFFC000"/>
        </patternFill>
      </fill>
    </dxf>
    <dxf>
      <font>
        <b/>
        <i val="0"/>
        <color theme="9" tint="0.79998168889431442"/>
      </font>
      <fill>
        <patternFill>
          <bgColor theme="9" tint="-0.24994659260841701"/>
        </patternFill>
      </fill>
    </dxf>
    <dxf>
      <font>
        <b/>
        <i val="0"/>
        <color theme="5" tint="0.79998168889431442"/>
      </font>
      <fill>
        <patternFill>
          <bgColor rgb="FFC00000"/>
        </patternFill>
      </fill>
    </dxf>
    <dxf>
      <font>
        <b/>
        <i val="0"/>
        <color theme="7" tint="0.79998168889431442"/>
      </font>
      <fill>
        <patternFill>
          <bgColor rgb="FF7030A0"/>
        </patternFill>
      </fill>
      <border>
        <left/>
        <right/>
        <top/>
        <bottom/>
      </border>
    </dxf>
    <dxf>
      <font>
        <b/>
        <i val="0"/>
        <color theme="0" tint="-0.24994659260841701"/>
      </font>
      <fill>
        <patternFill>
          <bgColor theme="1" tint="0.24994659260841701"/>
        </patternFill>
      </fill>
      <border>
        <left/>
        <right/>
        <top/>
        <bottom/>
      </border>
    </dxf>
    <dxf>
      <font>
        <b/>
        <i val="0"/>
        <color theme="6" tint="0.79998168889431442"/>
      </font>
      <fill>
        <patternFill>
          <bgColor theme="6"/>
        </patternFill>
      </fill>
      <border>
        <left/>
        <right/>
        <top/>
        <bottom/>
      </border>
    </dxf>
    <dxf>
      <font>
        <b/>
        <i val="0"/>
        <color theme="9" tint="0.79998168889431442"/>
      </font>
      <fill>
        <patternFill>
          <bgColor theme="9"/>
        </patternFill>
      </fill>
      <border>
        <left/>
        <right/>
        <top/>
        <bottom/>
      </border>
    </dxf>
    <dxf>
      <font>
        <b/>
        <i val="0"/>
        <color theme="5" tint="0.79998168889431442"/>
      </font>
      <fill>
        <patternFill>
          <bgColor rgb="FFFF0000"/>
        </patternFill>
      </fill>
      <border>
        <left/>
        <right/>
        <top/>
        <bottom/>
      </border>
    </dxf>
    <dxf>
      <font>
        <strike val="0"/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" formatCode="0"/>
      <fill>
        <patternFill patternType="solid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" formatCode="0"/>
      <fill>
        <patternFill patternType="solid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1" formatCode="0"/>
      <fill>
        <patternFill patternType="solid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protection locked="0" hidden="0"/>
    </dxf>
    <dxf>
      <border outline="0">
        <top style="thin">
          <color theme="0" tint="-0.34998626667073579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fill>
        <patternFill>
          <fgColor indexed="64"/>
        </patternFill>
      </fill>
      <alignment horizontal="left" vertical="center" textRotation="0" wrapText="0" indent="0" justifyLastLine="0" shrinkToFit="0" readingOrder="0"/>
      <border diagonalUp="0" diagonalDown="0"/>
      <protection locked="1" hidden="0"/>
    </dxf>
    <dxf>
      <border>
        <bottom style="thin">
          <color rgb="FF3F3F3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indexed="64"/>
          <bgColor rgb="FF5F5F5F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0"/>
        </left>
        <right style="thin">
          <color indexed="0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8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" formatCode="0"/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rgb="FFEF4224"/>
        </top>
        <bottom style="thin">
          <color rgb="FFEF422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5" formatCode="0.0"/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righ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5" formatCode="0.0"/>
      <alignment horizontal="right" vertical="bottom" textRotation="0" wrapText="0" relative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left" vertical="bottom" textRotation="0" wrapText="0" relative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left" vertical="bottom" textRotation="0" wrapText="0" relative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outline="0">
        <top style="thin">
          <color rgb="FF3F3F3F"/>
        </top>
      </border>
    </dxf>
    <dxf>
      <font>
        <strike val="0"/>
        <outline val="0"/>
        <shadow val="0"/>
        <u val="none"/>
        <vertAlign val="baseline"/>
        <sz val="8"/>
      </font>
      <protection locked="1" hidden="0"/>
    </dxf>
    <dxf>
      <border>
        <bottom style="thin">
          <color rgb="FF3F3F3F"/>
        </bottom>
      </border>
    </dxf>
    <dxf>
      <font>
        <strike val="0"/>
        <outline val="0"/>
        <shadow val="0"/>
        <u val="none"/>
        <vertAlign val="baseline"/>
        <sz val="10"/>
        <color theme="0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0"/>
        </left>
        <right style="thin">
          <color indexed="0"/>
        </right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EF4224"/>
        <name val="Calibri"/>
        <scheme val="minor"/>
      </font>
      <numFmt numFmtId="2" formatCode="0.00"/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1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alignment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rgb="FFEF4224"/>
        </top>
        <bottom style="thin">
          <color rgb="FFEF4224"/>
        </bottom>
      </border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alignment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rgb="FFEF4224"/>
        </top>
        <bottom style="thin">
          <color rgb="FFEF4224"/>
        </bottom>
      </border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alignment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rgb="FFEF4224"/>
        </top>
        <bottom style="thin">
          <color rgb="FFEF4224"/>
        </bottom>
      </border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alignment vertical="center" textRotation="0" wrapText="0" indent="0" justifyLastLine="0" shrinkToFit="0" readingOrder="0"/>
      <protection locked="1" hidden="0"/>
    </dxf>
    <dxf>
      <border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fill>
        <patternFill patternType="solid">
          <fgColor indexed="64"/>
          <bgColor rgb="FF5F5F5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4.9989318521683403E-2"/>
        </left>
        <right style="thin">
          <color theme="0" tint="-4.9989318521683403E-2"/>
        </right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EF4224"/>
        <name val="Calibri"/>
        <scheme val="minor"/>
      </font>
      <numFmt numFmtId="2" formatCode="0.00"/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0"/>
        </top>
        <bottom style="thin">
          <color indexed="0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alignment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rgb="FFEF4224"/>
        </top>
        <bottom style="thin">
          <color rgb="FFEF4224"/>
        </bottom>
      </border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alignment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rgb="FFEF4224"/>
        </top>
        <bottom style="thin">
          <color rgb="FFEF4224"/>
        </bottom>
      </border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alignment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rgb="FFEF4224"/>
        </top>
        <bottom style="thin">
          <color rgb="FFEF4224"/>
        </bottom>
      </border>
      <protection locked="0" hidden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alignment vertical="center" textRotation="0" wrapText="0" indent="0" justifyLastLine="0" shrinkToFit="0" readingOrder="0"/>
      <protection locked="1" hidden="0"/>
    </dxf>
    <dxf>
      <border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fill>
        <patternFill patternType="solid">
          <fgColor indexed="64"/>
          <bgColor rgb="FF5F5F5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4.9989318521683403E-2"/>
        </left>
        <right style="thin">
          <color theme="0" tint="-4.9989318521683403E-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170" formatCode="0.000"/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70" formatCode="0.000"/>
      <alignment horizontal="right" vertical="center" textRotation="0" wrapText="1" indent="0" justifyLastLine="0" shrinkToFit="0" readingOrder="0"/>
      <border diagonalUp="0" diagonalDown="0">
        <left style="thin">
          <color theme="0" tint="-0.34998626667073579"/>
        </left>
        <right/>
        <top/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70" formatCode="0.000"/>
      <alignment horizontal="right" vertical="center" textRotation="0" wrapText="1" indent="0" justifyLastLine="0" shrinkToFit="0" readingOrder="0"/>
      <border diagonalUp="0" diagonalDown="0">
        <left style="thin">
          <color theme="0" tint="-0.34998626667073579"/>
        </left>
        <right/>
        <top/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170" formatCode="0.000"/>
      <alignment horizontal="right" vertical="center" textRotation="0" wrapText="1" indent="0" justifyLastLine="0" shrinkToFit="0" readingOrder="0"/>
      <border diagonalUp="0" diagonalDown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170" formatCode="0.000"/>
      <alignment horizontal="righ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167" formatCode="0.0%"/>
      <alignment horizontal="righ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" formatCode="0"/>
      <alignment horizontal="righ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rgb="FFFF0000"/>
        </top>
        <bottom style="thin">
          <color rgb="FFFF0000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167" formatCode="0.0%"/>
      <alignment horizontal="righ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" formatCode="0"/>
      <alignment horizontal="righ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rgb="FFFF0000"/>
        </top>
        <bottom style="thin">
          <color rgb="FFFF0000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167" formatCode="0.0%"/>
      <alignment horizontal="right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rgb="FFFF0000"/>
        </top>
        <bottom style="thin">
          <color rgb="FFFF0000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alignment horizontal="general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alignment horizontal="general" vertical="bottom" textRotation="0" wrapText="0" indent="0" justifyLastLine="0" shrinkToFit="0" readingOrder="0"/>
      <protection locked="1" hidden="0"/>
    </dxf>
    <dxf>
      <border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fill>
        <patternFill patternType="solid">
          <fgColor indexed="64"/>
          <bgColor rgb="FF5F5F5F"/>
        </patternFill>
      </fill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</dxfs>
  <tableStyles count="0" defaultTableStyle="TableStyleMedium9" defaultPivotStyle="PivotStyleLight16"/>
  <colors>
    <mruColors>
      <color rgb="FF3F3F3F"/>
      <color rgb="FFEF422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6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Predicted Tire Stiffness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8269770626497772"/>
          <c:y val="6.9832497480166275E-2"/>
          <c:w val="0.63475376842716802"/>
          <c:h val="0.75419097278579372"/>
        </c:manualLayout>
      </c:layout>
      <c:scatterChart>
        <c:scatterStyle val="lineMarker"/>
        <c:varyColors val="0"/>
        <c:ser>
          <c:idx val="1"/>
          <c:order val="0"/>
          <c:tx>
            <c:strRef>
              <c:f>'Tire Dynamics'!$E$4</c:f>
              <c:strCache>
                <c:ptCount val="1"/>
                <c:pt idx="0">
                  <c:v>Front Tires</c:v>
                </c:pt>
              </c:strCache>
            </c:strRef>
          </c:tx>
          <c:marker>
            <c:symbol val="none"/>
          </c:marker>
          <c:xVal>
            <c:numRef>
              <c:f>'Tire Dynamics'!$B$18:$B$31</c:f>
              <c:numCache>
                <c:formatCode>0</c:formatCode>
                <c:ptCount val="1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0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</c:numCache>
            </c:numRef>
          </c:xVal>
          <c:yVal>
            <c:numRef>
              <c:f>'Tire Dynamics'!$F$18:$F$31</c:f>
              <c:numCache>
                <c:formatCode>0</c:formatCode>
                <c:ptCount val="1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0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'Tire Dynamics'!$K$4</c:f>
              <c:strCache>
                <c:ptCount val="1"/>
                <c:pt idx="0">
                  <c:v>Rear Tires</c:v>
                </c:pt>
              </c:strCache>
            </c:strRef>
          </c:tx>
          <c:marker>
            <c:symbol val="none"/>
          </c:marker>
          <c:xVal>
            <c:numRef>
              <c:f>'Tire Dynamics'!$H$18:$H$31</c:f>
              <c:numCache>
                <c:formatCode>0</c:formatCode>
                <c:ptCount val="1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0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</c:numCache>
            </c:numRef>
          </c:xVal>
          <c:yVal>
            <c:numRef>
              <c:f>'Tire Dynamics'!$L$18:$L$31</c:f>
              <c:numCache>
                <c:formatCode>0</c:formatCode>
                <c:ptCount val="1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0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441024"/>
        <c:axId val="52441600"/>
      </c:scatterChart>
      <c:valAx>
        <c:axId val="5244102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Load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2441600"/>
        <c:crosses val="autoZero"/>
        <c:crossBetween val="midCat"/>
      </c:valAx>
      <c:valAx>
        <c:axId val="524416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Rate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2441024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>
      <a:solidFill>
        <a:schemeClr val="bg1">
          <a:lumMod val="6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000000000000633" r="0.75000000000000633" t="1" header="0.51180555555555562" footer="0.51180555555555562"/>
    <c:pageSetup firstPageNumber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78215223097113"/>
          <c:y val="5.9374813442437342E-2"/>
          <c:w val="0.71248854762719882"/>
          <c:h val="0.82216499408162214"/>
        </c:manualLayout>
      </c:layout>
      <c:scatterChart>
        <c:scatterStyle val="lineMarker"/>
        <c:varyColors val="0"/>
        <c:ser>
          <c:idx val="0"/>
          <c:order val="0"/>
          <c:tx>
            <c:v>Redline</c:v>
          </c:tx>
          <c:marker>
            <c:symbol val="none"/>
          </c:marker>
          <c:xVal>
            <c:numRef>
              <c:f>(Transmission!$X$4,Transmission!$AH$32)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('FMTC Main'!$E$16,'FMTC Main'!$E$16)</c:f>
              <c:numCache>
                <c:formatCode>#,##0</c:formatCode>
                <c:ptCount val="2"/>
              </c:numCache>
            </c:numRef>
          </c:yVal>
          <c:smooth val="0"/>
        </c:ser>
        <c:ser>
          <c:idx val="1"/>
          <c:order val="1"/>
          <c:tx>
            <c:strRef>
              <c:f>Transmission!$X$3</c:f>
              <c:strCache>
                <c:ptCount val="1"/>
                <c:pt idx="0">
                  <c:v>1st</c:v>
                </c:pt>
              </c:strCache>
            </c:strRef>
          </c:tx>
          <c:marker>
            <c:symbol val="none"/>
          </c:marker>
          <c:xVal>
            <c:numRef>
              <c:f>(Transmission!$X$4,Transmission!$X$28)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(Transmission!$R$4,Transmission!$R$28)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Transmission!$Y$3</c:f>
              <c:strCache>
                <c:ptCount val="1"/>
                <c:pt idx="0">
                  <c:v>2nd</c:v>
                </c:pt>
              </c:strCache>
            </c:strRef>
          </c:tx>
          <c:marker>
            <c:symbol val="none"/>
          </c:marker>
          <c:xVal>
            <c:numRef>
              <c:f>(Transmission!$Y$4,Transmission!$Y$28)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(Transmission!$S$4,Transmission!$S$28)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Transmission!$Z$3</c:f>
              <c:strCache>
                <c:ptCount val="1"/>
                <c:pt idx="0">
                  <c:v>3rd</c:v>
                </c:pt>
              </c:strCache>
            </c:strRef>
          </c:tx>
          <c:marker>
            <c:symbol val="none"/>
          </c:marker>
          <c:xVal>
            <c:numRef>
              <c:f>(Transmission!$Z$4,Transmission!$Z$28)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(Transmission!$T$4,Transmission!$T$28)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Transmission!$AA$3</c:f>
              <c:strCache>
                <c:ptCount val="1"/>
                <c:pt idx="0">
                  <c:v>4th</c:v>
                </c:pt>
              </c:strCache>
            </c:strRef>
          </c:tx>
          <c:marker>
            <c:symbol val="none"/>
          </c:marker>
          <c:xVal>
            <c:numRef>
              <c:f>(Transmission!$AA$4,Transmission!$AA$28)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(Transmission!$U$4,Transmission!$U$28)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Transmission!$AB$3</c:f>
              <c:strCache>
                <c:ptCount val="1"/>
                <c:pt idx="0">
                  <c:v>5th</c:v>
                </c:pt>
              </c:strCache>
            </c:strRef>
          </c:tx>
          <c:marker>
            <c:symbol val="none"/>
          </c:marker>
          <c:xVal>
            <c:numRef>
              <c:f>(Transmission!$AB$4,Transmission!$AB$28)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(Transmission!$V$4,Transmission!$V$28)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Transmission!$AC$3</c:f>
              <c:strCache>
                <c:ptCount val="1"/>
                <c:pt idx="0">
                  <c:v>6th</c:v>
                </c:pt>
              </c:strCache>
            </c:strRef>
          </c:tx>
          <c:marker>
            <c:symbol val="none"/>
          </c:marker>
          <c:xVal>
            <c:numRef>
              <c:f>(Transmission!$AC$4,Transmission!$AC$28)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(Transmission!$W$4,Transmission!$W$28)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443328"/>
        <c:axId val="52443904"/>
      </c:scatterChart>
      <c:valAx>
        <c:axId val="52443328"/>
        <c:scaling>
          <c:orientation val="minMax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Speed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2443904"/>
        <c:crosses val="autoZero"/>
        <c:crossBetween val="midCat"/>
      </c:valAx>
      <c:valAx>
        <c:axId val="52443904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RPM (x1000)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2443328"/>
        <c:crosses val="autoZero"/>
        <c:crossBetween val="midCat"/>
        <c:dispUnits>
          <c:builtInUnit val="thousands"/>
        </c:dispUnits>
      </c:valAx>
    </c:plotArea>
    <c:legend>
      <c:legendPos val="r"/>
      <c:layout/>
      <c:overlay val="0"/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>
      <a:solidFill>
        <a:schemeClr val="bg1">
          <a:lumMod val="65000"/>
        </a:schemeClr>
      </a:solidFill>
    </a:ln>
    <a:effectLst/>
    <a:scene3d>
      <a:camera prst="orthographicFront"/>
      <a:lightRig rig="threePt" dir="t"/>
    </a:scene3d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000000000000588" r="0.75000000000000588" t="1" header="0.51180555555555562" footer="0.51180555555555562"/>
    <c:pageSetup firstPageNumber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31719601501843"/>
          <c:y val="5.9374813442437342E-2"/>
          <c:w val="0.7141813795014752"/>
          <c:h val="0.82216499408162214"/>
        </c:manualLayout>
      </c:layout>
      <c:scatterChart>
        <c:scatterStyle val="lineMarker"/>
        <c:varyColors val="0"/>
        <c:ser>
          <c:idx val="1"/>
          <c:order val="0"/>
          <c:tx>
            <c:strRef>
              <c:f>Transmission!$C$3</c:f>
              <c:strCache>
                <c:ptCount val="1"/>
                <c:pt idx="0">
                  <c:v>Torque</c:v>
                </c:pt>
              </c:strCache>
            </c:strRef>
          </c:tx>
          <c:marker>
            <c:symbol val="none"/>
          </c:marker>
          <c:xVal>
            <c:numRef>
              <c:f>Transmission!$B$4:$B$28</c:f>
              <c:numCache>
                <c:formatCode>0</c:formatCode>
                <c:ptCount val="25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xVal>
          <c:yVal>
            <c:numRef>
              <c:f>Transmission!$C$4:$C$28</c:f>
              <c:numCache>
                <c:formatCode>0.0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Transmission!$AE$45</c:f>
              <c:strCache>
                <c:ptCount val="1"/>
                <c:pt idx="0">
                  <c:v>Torque (lb-ft)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xVal>
            <c:numRef>
              <c:f>(Transmission!$AE$46,Transmission!$AE$46)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(Transmission!$AE$46,Transmission!$AF$46)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36864"/>
        <c:axId val="65037440"/>
      </c:scatterChart>
      <c:scatterChart>
        <c:scatterStyle val="lineMarker"/>
        <c:varyColors val="0"/>
        <c:ser>
          <c:idx val="2"/>
          <c:order val="1"/>
          <c:tx>
            <c:strRef>
              <c:f>Transmission!$D$3</c:f>
              <c:strCache>
                <c:ptCount val="1"/>
                <c:pt idx="0">
                  <c:v>Power</c:v>
                </c:pt>
              </c:strCache>
            </c:strRef>
          </c:tx>
          <c:marker>
            <c:symbol val="none"/>
          </c:marker>
          <c:xVal>
            <c:numRef>
              <c:f>Transmission!$B$4:$B$28</c:f>
              <c:numCache>
                <c:formatCode>0</c:formatCode>
                <c:ptCount val="25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xVal>
          <c:yVal>
            <c:numRef>
              <c:f>Transmission!$D$4:$D$28</c:f>
              <c:numCache>
                <c:formatCode>0.0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Transmission!$AG$45</c:f>
              <c:strCache>
                <c:ptCount val="1"/>
                <c:pt idx="0">
                  <c:v>Power (hp)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xVal>
            <c:numRef>
              <c:f>(Transmission!$AG$46,Transmission!$AG$46)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(Transmission!$AG$46,Transmission!$AH$46)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38016"/>
        <c:axId val="65038592"/>
      </c:scatterChart>
      <c:valAx>
        <c:axId val="65036864"/>
        <c:scaling>
          <c:orientation val="minMax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RPM (x1000)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5037440"/>
        <c:crosses val="autoZero"/>
        <c:crossBetween val="midCat"/>
        <c:dispUnits>
          <c:builtInUnit val="thousands"/>
        </c:dispUnits>
      </c:valAx>
      <c:valAx>
        <c:axId val="65037440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Torque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5036864"/>
        <c:crosses val="autoZero"/>
        <c:crossBetween val="midCat"/>
      </c:valAx>
      <c:valAx>
        <c:axId val="650380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5038592"/>
        <c:crosses val="autoZero"/>
        <c:crossBetween val="midCat"/>
      </c:valAx>
      <c:valAx>
        <c:axId val="65038592"/>
        <c:scaling>
          <c:orientation val="minMax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Power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5038016"/>
        <c:crosses val="max"/>
        <c:crossBetween val="midCat"/>
      </c:valAx>
    </c:plotArea>
    <c:legend>
      <c:legendPos val="b"/>
      <c:legendEntry>
        <c:idx val="1"/>
        <c:delete val="1"/>
      </c:legendEntry>
      <c:legendEntry>
        <c:idx val="3"/>
        <c:delete val="1"/>
      </c:legendEntry>
      <c:layout/>
      <c:overlay val="0"/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>
      <a:solidFill>
        <a:schemeClr val="bg1">
          <a:lumMod val="6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000000000000611" r="0.75000000000000611" t="1" header="0.51180555555555562" footer="0.51180555555555562"/>
    <c:pageSetup firstPageNumber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85714285714285"/>
          <c:y val="5.8823529411764705E-2"/>
          <c:w val="0.71325051759834368"/>
          <c:h val="0.82435695538057729"/>
        </c:manualLayout>
      </c:layout>
      <c:scatterChart>
        <c:scatterStyle val="lineMarker"/>
        <c:varyColors val="0"/>
        <c:ser>
          <c:idx val="1"/>
          <c:order val="0"/>
          <c:tx>
            <c:strRef>
              <c:f>Transmission!$E$3</c:f>
              <c:strCache>
                <c:ptCount val="1"/>
                <c:pt idx="0">
                  <c:v>1st</c:v>
                </c:pt>
              </c:strCache>
            </c:strRef>
          </c:tx>
          <c:marker>
            <c:symbol val="none"/>
          </c:marker>
          <c:xVal>
            <c:numRef>
              <c:f>Transmission!$K$4:$K$28</c:f>
              <c:numCache>
                <c:formatCode>0.0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xVal>
          <c:yVal>
            <c:numRef>
              <c:f>Transmission!$E$4:$E$28</c:f>
              <c:numCache>
                <c:formatCode>0.0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Transmission!$F$3</c:f>
              <c:strCache>
                <c:ptCount val="1"/>
                <c:pt idx="0">
                  <c:v>2nd</c:v>
                </c:pt>
              </c:strCache>
            </c:strRef>
          </c:tx>
          <c:marker>
            <c:symbol val="none"/>
          </c:marker>
          <c:xVal>
            <c:numRef>
              <c:f>Transmission!$L$4:$L$28</c:f>
              <c:numCache>
                <c:formatCode>0.0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xVal>
          <c:yVal>
            <c:numRef>
              <c:f>Transmission!$F$4:$F$28</c:f>
              <c:numCache>
                <c:formatCode>0.0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Transmission!$G$3</c:f>
              <c:strCache>
                <c:ptCount val="1"/>
                <c:pt idx="0">
                  <c:v>3rd</c:v>
                </c:pt>
              </c:strCache>
            </c:strRef>
          </c:tx>
          <c:marker>
            <c:symbol val="none"/>
          </c:marker>
          <c:xVal>
            <c:numRef>
              <c:f>Transmission!$M$4:$M$28</c:f>
              <c:numCache>
                <c:formatCode>0.0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xVal>
          <c:yVal>
            <c:numRef>
              <c:f>Transmission!$G$4:$G$28</c:f>
              <c:numCache>
                <c:formatCode>0.0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yVal>
          <c:smooth val="1"/>
        </c:ser>
        <c:ser>
          <c:idx val="4"/>
          <c:order val="3"/>
          <c:tx>
            <c:strRef>
              <c:f>Transmission!$H$3</c:f>
              <c:strCache>
                <c:ptCount val="1"/>
                <c:pt idx="0">
                  <c:v>4th</c:v>
                </c:pt>
              </c:strCache>
            </c:strRef>
          </c:tx>
          <c:marker>
            <c:symbol val="none"/>
          </c:marker>
          <c:xVal>
            <c:numRef>
              <c:f>Transmission!$N$4:$N$28</c:f>
              <c:numCache>
                <c:formatCode>0.0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xVal>
          <c:yVal>
            <c:numRef>
              <c:f>Transmission!$H$4:$H$28</c:f>
              <c:numCache>
                <c:formatCode>0.0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yVal>
          <c:smooth val="1"/>
        </c:ser>
        <c:ser>
          <c:idx val="5"/>
          <c:order val="4"/>
          <c:tx>
            <c:strRef>
              <c:f>Transmission!$I$3</c:f>
              <c:strCache>
                <c:ptCount val="1"/>
                <c:pt idx="0">
                  <c:v>5th</c:v>
                </c:pt>
              </c:strCache>
            </c:strRef>
          </c:tx>
          <c:marker>
            <c:symbol val="none"/>
          </c:marker>
          <c:xVal>
            <c:numRef>
              <c:f>Transmission!$O$4:$O$28</c:f>
              <c:numCache>
                <c:formatCode>0.0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xVal>
          <c:yVal>
            <c:numRef>
              <c:f>Transmission!$I$4:$I$28</c:f>
              <c:numCache>
                <c:formatCode>0.0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yVal>
          <c:smooth val="1"/>
        </c:ser>
        <c:ser>
          <c:idx val="6"/>
          <c:order val="5"/>
          <c:tx>
            <c:strRef>
              <c:f>Transmission!$J$3</c:f>
              <c:strCache>
                <c:ptCount val="1"/>
                <c:pt idx="0">
                  <c:v>6th</c:v>
                </c:pt>
              </c:strCache>
            </c:strRef>
          </c:tx>
          <c:marker>
            <c:symbol val="none"/>
          </c:marker>
          <c:xVal>
            <c:numRef>
              <c:f>Transmission!$P$4:$P$28</c:f>
              <c:numCache>
                <c:formatCode>0.0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xVal>
          <c:yVal>
            <c:numRef>
              <c:f>Transmission!$J$4:$J$28</c:f>
              <c:numCache>
                <c:formatCode>0.0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40896"/>
        <c:axId val="65041472"/>
      </c:scatterChart>
      <c:valAx>
        <c:axId val="65040896"/>
        <c:scaling>
          <c:orientation val="minMax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Speed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5041472"/>
        <c:crosses val="autoZero"/>
        <c:crossBetween val="midCat"/>
      </c:valAx>
      <c:valAx>
        <c:axId val="65041472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Torque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5040896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0"/>
    <c:dispBlanksAs val="gap"/>
    <c:showDLblsOverMax val="0"/>
  </c:chart>
  <c:spPr>
    <a:ln>
      <a:solidFill>
        <a:schemeClr val="bg1">
          <a:lumMod val="6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000000000000588" r="0.75000000000000588" t="1" header="0.51180555555555562" footer="0.51180555555555562"/>
    <c:pageSetup firstPageNumber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285714285714285"/>
          <c:y val="5.8823529411764705E-2"/>
          <c:w val="0.82390277302293735"/>
          <c:h val="0.82435695538057729"/>
        </c:manualLayout>
      </c:layout>
      <c:scatterChart>
        <c:scatterStyle val="lineMarker"/>
        <c:varyColors val="0"/>
        <c:ser>
          <c:idx val="0"/>
          <c:order val="0"/>
          <c:tx>
            <c:strRef>
              <c:f>Transmission!$AE$3</c:f>
              <c:strCache>
                <c:ptCount val="1"/>
                <c:pt idx="0">
                  <c:v>Forward Gears</c:v>
                </c:pt>
              </c:strCache>
            </c:strRef>
          </c:tx>
          <c:trendline>
            <c:trendlineType val="exp"/>
            <c:dispRSqr val="1"/>
            <c:dispEq val="1"/>
            <c:trendlineLbl>
              <c:layout/>
              <c:numFmt formatCode="General" sourceLinked="0"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strRef>
              <c:f>Transmission!$AE$5:$AF$10</c:f>
              <c:strCache>
                <c:ptCount val="6"/>
                <c:pt idx="0">
                  <c:v>1st</c:v>
                </c:pt>
                <c:pt idx="1">
                  <c:v>2nd</c:v>
                </c:pt>
                <c:pt idx="2">
                  <c:v>3rd</c:v>
                </c:pt>
                <c:pt idx="3">
                  <c:v>4th</c:v>
                </c:pt>
                <c:pt idx="4">
                  <c:v>5th</c:v>
                </c:pt>
                <c:pt idx="5">
                  <c:v>6th</c:v>
                </c:pt>
              </c:strCache>
            </c:strRef>
          </c:xVal>
          <c:yVal>
            <c:numRef>
              <c:f>Transmission!$AG$5:$AG$10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43776"/>
        <c:axId val="70205440"/>
      </c:scatterChart>
      <c:valAx>
        <c:axId val="65043776"/>
        <c:scaling>
          <c:orientation val="minMax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Gear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0205440"/>
        <c:crosses val="autoZero"/>
        <c:crossBetween val="midCat"/>
      </c:valAx>
      <c:valAx>
        <c:axId val="70205440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Gear Ratio</a:t>
                </a:r>
              </a:p>
            </c:rich>
          </c:tx>
          <c:layout/>
          <c:overlay val="0"/>
        </c:title>
        <c:numFmt formatCode="0.0;[Red]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5043776"/>
        <c:crosses val="autoZero"/>
        <c:crossBetween val="midCat"/>
      </c:valAx>
    </c:plotArea>
    <c:plotVisOnly val="0"/>
    <c:dispBlanksAs val="gap"/>
    <c:showDLblsOverMax val="0"/>
  </c:chart>
  <c:spPr>
    <a:solidFill>
      <a:schemeClr val="bg1"/>
    </a:solidFill>
    <a:ln>
      <a:solidFill>
        <a:schemeClr val="bg1">
          <a:lumMod val="6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000000000000588" r="0.75000000000000588" t="1" header="0.51180555555555562" footer="0.51180555555555562"/>
    <c:pageSetup firstPageNumber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6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Downforce and Drag Estimates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2505591692342805"/>
          <c:y val="5.9374813442437342E-2"/>
          <c:w val="0.74937806687207575"/>
          <c:h val="0.82216499408162214"/>
        </c:manualLayout>
      </c:layout>
      <c:scatterChart>
        <c:scatterStyle val="lineMarker"/>
        <c:varyColors val="0"/>
        <c:ser>
          <c:idx val="0"/>
          <c:order val="0"/>
          <c:tx>
            <c:strRef>
              <c:f>Aerodynamics!$B$6</c:f>
              <c:strCache>
                <c:ptCount val="1"/>
                <c:pt idx="0">
                  <c:v>Drag Force (lbf)</c:v>
                </c:pt>
              </c:strCache>
            </c:strRef>
          </c:tx>
          <c:marker>
            <c:symbol val="none"/>
          </c:marker>
          <c:xVal>
            <c:numRef>
              <c:f>Aerodynamics!$D$5:$I$5</c:f>
              <c:numCache>
                <c:formatCode>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Aerodynamics!$D$6:$I$6</c:f>
              <c:numCache>
                <c:formatCode>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Aerodynamics!$B$7</c:f>
              <c:strCache>
                <c:ptCount val="1"/>
                <c:pt idx="0">
                  <c:v>Downforce (lbf)</c:v>
                </c:pt>
              </c:strCache>
            </c:strRef>
          </c:tx>
          <c:marker>
            <c:symbol val="none"/>
          </c:marker>
          <c:xVal>
            <c:numRef>
              <c:f>Aerodynamics!$D$5:$I$5</c:f>
              <c:numCache>
                <c:formatCode>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Aerodynamics!$D$7:$I$7</c:f>
              <c:numCache>
                <c:formatCode>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07744"/>
        <c:axId val="70208320"/>
      </c:scatterChart>
      <c:valAx>
        <c:axId val="7020774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Speed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0208320"/>
        <c:crosses val="autoZero"/>
        <c:crossBetween val="midCat"/>
      </c:valAx>
      <c:valAx>
        <c:axId val="702083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Force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0207744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>
      <a:solidFill>
        <a:schemeClr val="bg1">
          <a:lumMod val="65000"/>
        </a:schemeClr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000000000000655" r="0.75000000000000655" t="1" header="0.51180555555555562" footer="0.51180555555555562"/>
    <c:pageSetup firstPageNumber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Critical Damping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38855562739005"/>
          <c:y val="0.12622222222222224"/>
          <c:w val="0.67517398273701734"/>
          <c:h val="0.7509623797025373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Graveyard!$Y$4</c:f>
              <c:strCache>
                <c:ptCount val="1"/>
                <c:pt idx="0">
                  <c:v>Front Bump</c:v>
                </c:pt>
              </c:strCache>
            </c:strRef>
          </c:tx>
          <c:marker>
            <c:symbol val="none"/>
          </c:marker>
          <c:xVal>
            <c:numRef>
              <c:f>Graveyard!$Y$7:$Y$21</c:f>
              <c:numCache>
                <c:formatCode>0</c:formatCode>
                <c:ptCount val="15"/>
              </c:numCache>
            </c:numRef>
          </c:xVal>
          <c:yVal>
            <c:numRef>
              <c:f>Graveyard!$Z$7:$Z$21</c:f>
              <c:numCache>
                <c:formatCode>0</c:formatCode>
                <c:ptCount val="15"/>
              </c:numCache>
            </c:numRef>
          </c:yVal>
          <c:smooth val="1"/>
        </c:ser>
        <c:ser>
          <c:idx val="1"/>
          <c:order val="1"/>
          <c:tx>
            <c:strRef>
              <c:f>Graveyard!$AA$4</c:f>
              <c:strCache>
                <c:ptCount val="1"/>
                <c:pt idx="0">
                  <c:v>Front Rebound</c:v>
                </c:pt>
              </c:strCache>
            </c:strRef>
          </c:tx>
          <c:marker>
            <c:symbol val="none"/>
          </c:marker>
          <c:yVal>
            <c:numRef>
              <c:f>Graveyard!$AB$7:$AB$12</c:f>
              <c:numCache>
                <c:formatCode>0.0%</c:formatCode>
                <c:ptCount val="6"/>
              </c:numCache>
            </c:numRef>
          </c:yVal>
          <c:smooth val="1"/>
        </c:ser>
        <c:ser>
          <c:idx val="2"/>
          <c:order val="2"/>
          <c:tx>
            <c:strRef>
              <c:f>Graveyard!$AD$4</c:f>
              <c:strCache>
                <c:ptCount val="1"/>
                <c:pt idx="0">
                  <c:v>Rear Bump</c:v>
                </c:pt>
              </c:strCache>
            </c:strRef>
          </c:tx>
          <c:marker>
            <c:symbol val="none"/>
          </c:marker>
          <c:yVal>
            <c:numRef>
              <c:f>Graveyard!$AE$7:$AE$12</c:f>
              <c:numCache>
                <c:formatCode>0.0%</c:formatCode>
                <c:ptCount val="6"/>
              </c:numCache>
            </c:numRef>
          </c:yVal>
          <c:smooth val="1"/>
        </c:ser>
        <c:ser>
          <c:idx val="3"/>
          <c:order val="3"/>
          <c:tx>
            <c:strRef>
              <c:f>Graveyard!$AF$4</c:f>
              <c:strCache>
                <c:ptCount val="1"/>
                <c:pt idx="0">
                  <c:v>Rear Rebound</c:v>
                </c:pt>
              </c:strCache>
            </c:strRef>
          </c:tx>
          <c:marker>
            <c:symbol val="none"/>
          </c:marker>
          <c:yVal>
            <c:numRef>
              <c:f>Graveyard!$AG$7:$AG$12</c:f>
              <c:numCache>
                <c:formatCode>0.0%</c:formatCode>
                <c:ptCount val="6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05760"/>
        <c:axId val="69806336"/>
      </c:scatterChart>
      <c:valAx>
        <c:axId val="69805760"/>
        <c:scaling>
          <c:orientation val="minMax"/>
          <c:min val="5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>
                    <a:latin typeface="Calibri" pitchFamily="34" charset="0"/>
                    <a:cs typeface="Calibri" pitchFamily="34" charset="0"/>
                  </a:defRPr>
                </a:pPr>
                <a:r>
                  <a:rPr lang="en-US">
                    <a:latin typeface="Calibri" pitchFamily="34" charset="0"/>
                    <a:cs typeface="Calibri" pitchFamily="34" charset="0"/>
                  </a:rPr>
                  <a:t>Wheel Velocity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9806336"/>
        <c:crosses val="autoZero"/>
        <c:crossBetween val="midCat"/>
      </c:valAx>
      <c:valAx>
        <c:axId val="698063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Damping Ratio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6980576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solidFill>
        <a:schemeClr val="bg1">
          <a:lumMod val="65000"/>
        </a:schemeClr>
      </a:solidFill>
    </a:ln>
  </c:spPr>
  <c:txPr>
    <a:bodyPr/>
    <a:lstStyle/>
    <a:p>
      <a:pPr>
        <a:defRPr sz="800">
          <a:solidFill>
            <a:srgbClr val="000000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0</xdr:rowOff>
    </xdr:from>
    <xdr:to>
      <xdr:col>12</xdr:col>
      <xdr:colOff>0</xdr:colOff>
      <xdr:row>47</xdr:row>
      <xdr:rowOff>0</xdr:rowOff>
    </xdr:to>
    <xdr:graphicFrame macro="">
      <xdr:nvGraphicFramePr>
        <xdr:cNvPr id="165954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29</xdr:row>
      <xdr:rowOff>0</xdr:rowOff>
    </xdr:from>
    <xdr:to>
      <xdr:col>22</xdr:col>
      <xdr:colOff>0</xdr:colOff>
      <xdr:row>46</xdr:row>
      <xdr:rowOff>0</xdr:rowOff>
    </xdr:to>
    <xdr:graphicFrame macro="">
      <xdr:nvGraphicFramePr>
        <xdr:cNvPr id="583892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29</xdr:row>
      <xdr:rowOff>0</xdr:rowOff>
    </xdr:from>
    <xdr:to>
      <xdr:col>8</xdr:col>
      <xdr:colOff>0</xdr:colOff>
      <xdr:row>46</xdr:row>
      <xdr:rowOff>0</xdr:rowOff>
    </xdr:to>
    <xdr:graphicFrame macro="">
      <xdr:nvGraphicFramePr>
        <xdr:cNvPr id="58389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29</xdr:row>
      <xdr:rowOff>0</xdr:rowOff>
    </xdr:from>
    <xdr:to>
      <xdr:col>15</xdr:col>
      <xdr:colOff>0</xdr:colOff>
      <xdr:row>46</xdr:row>
      <xdr:rowOff>0</xdr:rowOff>
    </xdr:to>
    <xdr:graphicFrame macro="">
      <xdr:nvGraphicFramePr>
        <xdr:cNvPr id="583893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29</xdr:row>
      <xdr:rowOff>0</xdr:rowOff>
    </xdr:from>
    <xdr:to>
      <xdr:col>29</xdr:col>
      <xdr:colOff>0</xdr:colOff>
      <xdr:row>46</xdr:row>
      <xdr:rowOff>0</xdr:rowOff>
    </xdr:to>
    <xdr:graphicFrame macro="">
      <xdr:nvGraphicFramePr>
        <xdr:cNvPr id="583893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66153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438150</xdr:colOff>
      <xdr:row>21</xdr:row>
      <xdr:rowOff>133350</xdr:rowOff>
    </xdr:from>
    <xdr:to>
      <xdr:col>33</xdr:col>
      <xdr:colOff>0</xdr:colOff>
      <xdr:row>37</xdr:row>
      <xdr:rowOff>133350</xdr:rowOff>
    </xdr:to>
    <xdr:graphicFrame macro="">
      <xdr:nvGraphicFramePr>
        <xdr:cNvPr id="212226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3" name="PriorityUpgrade" displayName="PriorityUpgrade" ref="A2:M51" totalsRowShown="0" headerRowDxfId="151" dataDxfId="149" headerRowBorderDxfId="150" tableBorderDxfId="148">
  <autoFilter ref="A2:M51"/>
  <sortState ref="A3:M51">
    <sortCondition descending="1" ref="L2:L51"/>
  </sortState>
  <tableColumns count="13">
    <tableColumn id="1" name="Class" dataDxfId="147"/>
    <tableColumn id="2" name="Engine and Power" dataDxfId="146"/>
    <tableColumn id="8" name="Power Input" dataDxfId="145"/>
    <tableColumn id="3" name="Power Gain" dataDxfId="144"/>
    <tableColumn id="9" name="Torque Input" dataDxfId="143"/>
    <tableColumn id="4" name="Torque Gain" dataDxfId="142"/>
    <tableColumn id="10" name="Weight Input" dataDxfId="141"/>
    <tableColumn id="5" name="Weight Gain" dataDxfId="140"/>
    <tableColumn id="6" name="Power to Weight" dataDxfId="139"/>
    <tableColumn id="7" name="Torque to Weight" dataDxfId="138"/>
    <tableColumn id="13" name="Power Rating" dataDxfId="137"/>
    <tableColumn id="12" name="Torque Rating" dataDxfId="136"/>
    <tableColumn id="11" name="Overall Rating" dataDxfId="135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9" name="Table2830" displayName="Table2830" ref="P27:S36" totalsRowShown="0" headerRowDxfId="134" dataDxfId="132" headerRowBorderDxfId="133">
  <autoFilter ref="P27:S36"/>
  <sortState ref="P28:S36">
    <sortCondition descending="1" ref="S27:S36"/>
  </sortState>
  <tableColumns count="4">
    <tableColumn id="1" name="width" dataDxfId="131"/>
    <tableColumn id="2" name="%" dataDxfId="130"/>
    <tableColumn id="3" name="rim" dataDxfId="129"/>
    <tableColumn id="4" name="diam" dataDxfId="128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28" name="Table28" displayName="Table28" ref="P15:S24" totalsRowShown="0" headerRowDxfId="127" dataDxfId="125" headerRowBorderDxfId="126">
  <autoFilter ref="P15:S24"/>
  <sortState ref="P16:S24">
    <sortCondition descending="1" ref="S15:S24"/>
  </sortState>
  <tableColumns count="4">
    <tableColumn id="1" name="width" dataDxfId="124"/>
    <tableColumn id="2" name="%" dataDxfId="123"/>
    <tableColumn id="3" name="rim" dataDxfId="122"/>
    <tableColumn id="4" name="diam" dataDxfId="121">
      <calculatedColumnFormula>((P16*(Q16/100)*2)/25.4+R16)*IF('FMTC Main'!$E$5="Metric",0.0254,1)</calculatedColumn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7" name="RimStyles" displayName="RimStyles" ref="A2:F116" totalsRowShown="0" headerRowDxfId="120" dataDxfId="118" headerRowBorderDxfId="119" tableBorderDxfId="117">
  <autoFilter ref="A2:F116"/>
  <sortState ref="A3:E116">
    <sortCondition descending="1" ref="C2:C116"/>
  </sortState>
  <tableColumns count="6">
    <tableColumn id="1" name="make" dataDxfId="116" totalsRowDxfId="115"/>
    <tableColumn id="2" name="model" dataDxfId="114" totalsRowDxfId="113"/>
    <tableColumn id="3" name="rating" dataDxfId="112" totalsRowDxfId="111"/>
    <tableColumn id="5" name="favorite" dataDxfId="110" totalsRowDxfId="109"/>
    <tableColumn id="6" name="36" dataDxfId="108" totalsRowDxfId="107"/>
    <tableColumn id="4" name="Stock" dataDxfId="106">
      <calculatedColumnFormula>A3&amp;" "&amp;B3</calculatedColumn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1" name="CarList" displayName="CarList" ref="A2:AA569" totalsRowShown="0" headerRowDxfId="105" dataDxfId="103" totalsRowDxfId="101" headerRowBorderDxfId="104" tableBorderDxfId="102">
  <autoFilter ref="A2:AA569"/>
  <sortState ref="A3:AA569">
    <sortCondition ref="B2:B569"/>
  </sortState>
  <tableColumns count="27">
    <tableColumn id="1" name="year" dataDxfId="100"/>
    <tableColumn id="2" name="make" dataDxfId="99"/>
    <tableColumn id="3" name="model" dataDxfId="98"/>
    <tableColumn id="13" name="price" dataDxfId="17"/>
    <tableColumn id="4" name="class" dataDxfId="16"/>
    <tableColumn id="5" name="pi" dataDxfId="15"/>
    <tableColumn id="6" name="speed" dataDxfId="14"/>
    <tableColumn id="7" name="handling" dataDxfId="13"/>
    <tableColumn id="8" name="acceleration" dataDxfId="12"/>
    <tableColumn id="9" name="launch" dataDxfId="11"/>
    <tableColumn id="10" name="braking" dataDxfId="10"/>
    <tableColumn id="11" name="country" dataDxfId="97"/>
    <tableColumn id="12" name="notes" dataDxfId="96"/>
    <tableColumn id="27" name="average" dataDxfId="95"/>
    <tableColumn id="25" name="weight" dataDxfId="9"/>
    <tableColumn id="14" name="width" dataDxfId="8"/>
    <tableColumn id="15" name="height" dataDxfId="7"/>
    <tableColumn id="26" name="wheelbase" dataDxfId="6"/>
    <tableColumn id="16" name="front" dataDxfId="5"/>
    <tableColumn id="17" name="rear" dataDxfId="4"/>
    <tableColumn id="18" name="front2" dataDxfId="3"/>
    <tableColumn id="19" name="rear2" dataDxfId="2"/>
    <tableColumn id="20" name="front3" dataDxfId="1"/>
    <tableColumn id="21" name="rear3" dataDxfId="0"/>
    <tableColumn id="22" name="front4" dataDxfId="94">
      <calculatedColumnFormula>S3-('FMTC Main'!$E$22-U3)</calculatedColumnFormula>
    </tableColumn>
    <tableColumn id="23" name="rear4" dataDxfId="93">
      <calculatedColumnFormula>T3-('FMTC Main'!$E$27-V3)</calculatedColumnFormula>
    </tableColumn>
    <tableColumn id="24" name="Select Car" dataDxfId="92">
      <calculatedColumnFormula>A3&amp;" "&amp;B3&amp;" "&amp;C3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bg1"/>
        </a:solidFill>
        <a:ln>
          <a:solidFill>
            <a:schemeClr val="bg1">
              <a:lumMod val="65000"/>
            </a:schemeClr>
          </a:solidFill>
        </a:ln>
      </a:spPr>
      <a:bodyPr vertOverflow="clip" wrap="square" rtlCol="0" anchor="t">
        <a:noAutofit/>
      </a:bodyPr>
      <a:lstStyle>
        <a:defPPr>
          <a:defRPr sz="800">
            <a:solidFill>
              <a:sysClr val="windowText" lastClr="000000"/>
            </a:solidFill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www.paypal.com/us/cgi-bin/webscr?cmd=_flow&amp;SESSION=o7gdEkSwR10AsqFwDmMVyhoL86-ZSefIAc9Hydeszd9oefKzzKQFOFSFMt8&amp;dispatch=5885d80a13c0db1f8e263663d3faee8deaa77efc63a6eb429928d42bdf5d9d2c" TargetMode="External"/><Relationship Id="rId4" Type="http://schemas.openxmlformats.org/officeDocument/2006/relationships/comments" Target="../comments4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Z54"/>
  <sheetViews>
    <sheetView showGridLines="0" tabSelected="1" showRuler="0" zoomScaleNormal="100" zoomScaleSheetLayoutView="100" workbookViewId="0">
      <selection activeCell="W35" sqref="W35:X35"/>
    </sheetView>
  </sheetViews>
  <sheetFormatPr defaultColWidth="6.5703125" defaultRowHeight="12.75" customHeight="1"/>
  <cols>
    <col min="1" max="2" width="6.5703125" style="3"/>
    <col min="3" max="3" width="6.5703125" style="3" customWidth="1"/>
    <col min="4" max="4" width="6.5703125" style="3"/>
    <col min="5" max="6" width="6.5703125" style="3" customWidth="1"/>
    <col min="7" max="7" width="6.5703125" style="13" customWidth="1"/>
    <col min="8" max="8" width="6.5703125" style="25" customWidth="1"/>
    <col min="9" max="9" width="6.5703125" style="3"/>
    <col min="10" max="10" width="6.5703125" style="3" customWidth="1"/>
    <col min="11" max="12" width="6.5703125" style="3"/>
    <col min="13" max="14" width="6.5703125" style="25"/>
    <col min="15" max="15" width="6.5703125" style="3" customWidth="1"/>
    <col min="16" max="16" width="6.5703125" style="3"/>
    <col min="17" max="17" width="6.5703125" style="3" customWidth="1"/>
    <col min="18" max="18" width="6.5703125" style="3"/>
    <col min="19" max="19" width="6.5703125" style="13"/>
    <col min="20" max="22" width="6.5703125" style="3"/>
    <col min="23" max="23" width="6.5703125" style="26" customWidth="1"/>
    <col min="24" max="24" width="6.5703125" style="26"/>
    <col min="25" max="25" width="6.5703125" style="3"/>
    <col min="26" max="26" width="6.5703125" style="49"/>
    <col min="27" max="16384" width="6.5703125" style="3"/>
  </cols>
  <sheetData>
    <row r="1" spans="1:24" ht="12.75" customHeight="1">
      <c r="A1" s="469" t="s">
        <v>1120</v>
      </c>
      <c r="B1" s="469"/>
      <c r="C1" s="469"/>
      <c r="D1" s="469"/>
      <c r="E1" s="469"/>
      <c r="F1" s="469"/>
      <c r="H1" s="471" t="s">
        <v>1002</v>
      </c>
      <c r="I1" s="471"/>
      <c r="J1" s="471"/>
      <c r="K1" s="471"/>
      <c r="L1" s="471"/>
      <c r="M1" s="471"/>
      <c r="N1" s="471"/>
      <c r="O1" s="471"/>
      <c r="P1" s="471"/>
      <c r="Q1" s="471"/>
      <c r="R1" s="471"/>
      <c r="S1" s="347"/>
      <c r="T1" s="347"/>
      <c r="U1" s="347"/>
      <c r="V1" s="329"/>
      <c r="W1" s="329"/>
      <c r="X1" s="3"/>
    </row>
    <row r="2" spans="1:24" ht="12.75" customHeight="1" thickBot="1">
      <c r="B2" s="460" t="s">
        <v>24</v>
      </c>
      <c r="C2" s="460"/>
      <c r="D2" s="460"/>
      <c r="E2" s="460"/>
      <c r="F2" s="460"/>
      <c r="G2" s="347"/>
      <c r="H2" s="473" t="s">
        <v>369</v>
      </c>
      <c r="I2" s="473"/>
      <c r="J2" s="473"/>
      <c r="K2" s="473"/>
      <c r="L2" s="473"/>
      <c r="M2" s="473"/>
      <c r="N2" s="473"/>
      <c r="O2" s="473"/>
      <c r="P2" s="473"/>
      <c r="Q2" s="473"/>
      <c r="R2" s="473"/>
      <c r="T2" s="460" t="s">
        <v>70</v>
      </c>
      <c r="U2" s="460"/>
      <c r="V2" s="460"/>
      <c r="W2" s="460"/>
      <c r="X2" s="460"/>
    </row>
    <row r="3" spans="1:24" ht="12.75" customHeight="1" thickTop="1" thickBot="1">
      <c r="B3" s="347"/>
      <c r="C3" s="347"/>
      <c r="D3" s="347"/>
      <c r="E3" s="347"/>
      <c r="F3" s="347"/>
      <c r="G3" s="347"/>
      <c r="M3" s="347"/>
      <c r="N3" s="209"/>
      <c r="O3" s="340"/>
      <c r="P3" s="340"/>
      <c r="Q3" s="340"/>
      <c r="T3" s="12"/>
      <c r="U3" s="12"/>
      <c r="V3" s="12"/>
      <c r="W3" s="167"/>
      <c r="X3" s="167"/>
    </row>
    <row r="4" spans="1:24" ht="12.75" customHeight="1">
      <c r="B4" s="443" t="s">
        <v>30</v>
      </c>
      <c r="C4" s="443"/>
      <c r="D4" s="443"/>
      <c r="E4" s="463"/>
      <c r="F4" s="463"/>
      <c r="G4" s="347"/>
      <c r="H4" s="447" t="s">
        <v>770</v>
      </c>
      <c r="I4" s="448"/>
      <c r="J4" s="448"/>
      <c r="K4" s="448"/>
      <c r="L4" s="449"/>
      <c r="M4" s="347"/>
      <c r="N4" s="447" t="s">
        <v>774</v>
      </c>
      <c r="O4" s="448"/>
      <c r="P4" s="448"/>
      <c r="Q4" s="448"/>
      <c r="R4" s="449"/>
      <c r="W4" s="227" t="s">
        <v>28</v>
      </c>
      <c r="X4" s="228" t="s">
        <v>29</v>
      </c>
    </row>
    <row r="5" spans="1:24" ht="12.75" customHeight="1">
      <c r="B5" s="443" t="s">
        <v>40</v>
      </c>
      <c r="C5" s="443"/>
      <c r="D5" s="443"/>
      <c r="E5" s="462" t="s">
        <v>761</v>
      </c>
      <c r="F5" s="462"/>
      <c r="G5" s="347"/>
      <c r="H5" s="202"/>
      <c r="I5" s="18"/>
      <c r="J5" s="18"/>
      <c r="K5" s="18"/>
      <c r="L5" s="18"/>
      <c r="M5" s="347"/>
      <c r="O5" s="4"/>
      <c r="P5" s="4"/>
      <c r="Q5" s="4"/>
      <c r="R5" s="4"/>
      <c r="T5" s="472" t="s">
        <v>672</v>
      </c>
      <c r="U5" s="472"/>
      <c r="V5" s="472"/>
      <c r="W5" s="477" t="e">
        <f>MROUND(IF('FMTC Main'!W6="",(1/(2*PI())*SQRT(((('Tire Dynamics'!Q6/2/'Calculation Data &amp; Factors'!A12*'Calculation Data &amp; Factors'!A31)+(SUM('Tire Dynamics'!Q16:'Tire Dynamics'!R16)/'Calculation Data &amp; Factors'!A12*'Calculation Data &amp; Factors'!A31))/('Calculation Data &amp; Factors'!A20))/('Tire Dynamics'!Q6/2/'Calculation Data &amp; Factors'!A12))),'FMTC Main'!W6),0.05)</f>
        <v>#N/A</v>
      </c>
      <c r="X5" s="477"/>
    </row>
    <row r="6" spans="1:24" ht="12.75" customHeight="1">
      <c r="B6" s="478" t="s">
        <v>572</v>
      </c>
      <c r="C6" s="479"/>
      <c r="D6" s="479"/>
      <c r="E6" s="348" t="str">
        <f>'Calculation Data &amp; Factors'!A8</f>
        <v>F</v>
      </c>
      <c r="F6" s="232"/>
      <c r="G6" s="347"/>
      <c r="H6" s="446" t="s">
        <v>363</v>
      </c>
      <c r="I6" s="445"/>
      <c r="J6" s="445"/>
      <c r="K6" s="218" t="str">
        <f>IF(E5="Metric","bar","psi")</f>
        <v>psi</v>
      </c>
      <c r="L6" s="217"/>
      <c r="M6" s="347"/>
      <c r="N6" s="446" t="s">
        <v>374</v>
      </c>
      <c r="O6" s="445"/>
      <c r="P6" s="445"/>
      <c r="Q6" s="215" t="str">
        <f>IF(E5="Metric","kgf/cm","lb/in")</f>
        <v>lb/in</v>
      </c>
      <c r="R6" s="216"/>
      <c r="T6" s="468" t="str">
        <f>"Frequency Override (Hz)"</f>
        <v>Frequency Override (Hz)</v>
      </c>
      <c r="U6" s="468"/>
      <c r="V6" s="468"/>
      <c r="W6" s="467"/>
      <c r="X6" s="467"/>
    </row>
    <row r="7" spans="1:24" ht="12.75" customHeight="1">
      <c r="B7" s="443" t="s">
        <v>663</v>
      </c>
      <c r="C7" s="443"/>
      <c r="D7" s="443"/>
      <c r="E7" s="461" t="s">
        <v>28</v>
      </c>
      <c r="F7" s="461"/>
      <c r="G7" s="347"/>
      <c r="H7" s="443" t="s">
        <v>364</v>
      </c>
      <c r="I7" s="443"/>
      <c r="J7" s="443"/>
      <c r="K7" s="248" t="e">
        <f>'Tire Dynamics'!Q31</f>
        <v>#DIV/0!</v>
      </c>
      <c r="L7" s="249"/>
      <c r="M7" s="347"/>
      <c r="N7" s="455" t="s">
        <v>364</v>
      </c>
      <c r="O7" s="455"/>
      <c r="P7" s="455"/>
      <c r="Q7" s="253" t="e">
        <f>MROUND(PRODUCT('Calculation Data &amp; Factors'!A23,W18,W16),(IF(E5="Metric",0.1,0.5)))</f>
        <v>#N/A</v>
      </c>
      <c r="R7" s="254"/>
      <c r="T7" s="470" t="s">
        <v>751</v>
      </c>
      <c r="U7" s="470"/>
      <c r="V7" s="470"/>
      <c r="W7" s="331" t="e">
        <f>MROUND('Calculation Data &amp; Factors'!B17/('Calculation Data &amp; Factors'!B17+'Calculation Data &amp; Factors'!C17),0.001)</f>
        <v>#N/A</v>
      </c>
      <c r="X7" s="331" t="e">
        <f>1-'FMTC Main'!W7</f>
        <v>#N/A</v>
      </c>
    </row>
    <row r="8" spans="1:24" ht="12.75" customHeight="1">
      <c r="B8" s="443" t="s">
        <v>27</v>
      </c>
      <c r="C8" s="443"/>
      <c r="D8" s="443"/>
      <c r="E8" s="461" t="s">
        <v>656</v>
      </c>
      <c r="F8" s="461"/>
      <c r="G8" s="347"/>
      <c r="H8" s="443" t="s">
        <v>365</v>
      </c>
      <c r="I8" s="443"/>
      <c r="J8" s="443"/>
      <c r="K8" s="248" t="e">
        <f>'Tire Dynamics'!R31</f>
        <v>#DIV/0!</v>
      </c>
      <c r="L8" s="249"/>
      <c r="M8" s="347"/>
      <c r="N8" s="443" t="s">
        <v>365</v>
      </c>
      <c r="O8" s="443"/>
      <c r="P8" s="443"/>
      <c r="Q8" s="255" t="e">
        <f>MROUND(PRODUCT('Calculation Data &amp; Factors'!A23,X18,W16),(IF(E5="Metric",0.1,0.5)))</f>
        <v>#N/A</v>
      </c>
      <c r="R8" s="251"/>
      <c r="T8" s="470" t="s">
        <v>1140</v>
      </c>
      <c r="U8" s="470"/>
      <c r="V8" s="470"/>
      <c r="W8" s="331" t="e">
        <f>MROUND((('Tire Dynamics'!Q8+'Tire Dynamics'!Q15)/2+'Tire Dynamics'!Q16)/((('Tire Dynamics'!Q8+'Tire Dynamics'!Q15)/2+'Tire Dynamics'!Q16)+(('Tire Dynamics'!R8-'Tire Dynamics'!Q15)/2+'Tire Dynamics'!R16)),0.001)</f>
        <v>#N/A</v>
      </c>
      <c r="X8" s="331" t="e">
        <f>1-'FMTC Main'!W8</f>
        <v>#N/A</v>
      </c>
    </row>
    <row r="9" spans="1:24" ht="12.75" customHeight="1" thickBot="1">
      <c r="B9" s="443" t="s">
        <v>20</v>
      </c>
      <c r="C9" s="443"/>
      <c r="D9" s="443"/>
      <c r="E9" s="233"/>
      <c r="F9" s="234" t="str">
        <f>IF(E5="Metric","kW","hp")</f>
        <v>hp</v>
      </c>
      <c r="G9" s="347"/>
      <c r="I9" s="330"/>
      <c r="J9" s="330"/>
      <c r="K9" s="19"/>
      <c r="L9" s="7"/>
      <c r="M9" s="347"/>
      <c r="T9" s="347"/>
      <c r="U9" s="347"/>
      <c r="V9" s="347"/>
      <c r="W9" s="349"/>
      <c r="X9" s="349"/>
    </row>
    <row r="10" spans="1:24" ht="12.75" customHeight="1">
      <c r="B10" s="443" t="s">
        <v>14</v>
      </c>
      <c r="C10" s="443"/>
      <c r="D10" s="443"/>
      <c r="E10" s="235"/>
      <c r="F10" s="236" t="str">
        <f>IF('FMTC Main'!E5="Metric","N-m","lb-ft")</f>
        <v>lb-ft</v>
      </c>
      <c r="G10" s="347"/>
      <c r="H10" s="474" t="s">
        <v>771</v>
      </c>
      <c r="I10" s="475"/>
      <c r="J10" s="475"/>
      <c r="K10" s="475"/>
      <c r="L10" s="476"/>
      <c r="M10" s="347"/>
      <c r="N10" s="447" t="s">
        <v>775</v>
      </c>
      <c r="O10" s="448"/>
      <c r="P10" s="448"/>
      <c r="Q10" s="448"/>
      <c r="R10" s="449"/>
      <c r="T10" s="456" t="s">
        <v>34</v>
      </c>
      <c r="U10" s="456"/>
      <c r="V10" s="457"/>
      <c r="W10" s="349"/>
      <c r="X10" s="349"/>
    </row>
    <row r="11" spans="1:24" ht="12.75" customHeight="1">
      <c r="B11" s="443" t="s">
        <v>25</v>
      </c>
      <c r="C11" s="443"/>
      <c r="D11" s="443"/>
      <c r="E11" s="237"/>
      <c r="F11" s="236" t="str">
        <f>IF(E5="Metric","kg","lbs")</f>
        <v>lbs</v>
      </c>
      <c r="G11" s="347"/>
      <c r="I11" s="18"/>
      <c r="J11" s="18"/>
      <c r="K11" s="18"/>
      <c r="L11" s="18"/>
      <c r="M11" s="347"/>
      <c r="O11" s="4"/>
      <c r="P11" s="4"/>
      <c r="Q11" s="4"/>
      <c r="R11" s="4"/>
      <c r="T11" s="443" t="s">
        <v>53</v>
      </c>
      <c r="U11" s="443"/>
      <c r="V11" s="443"/>
      <c r="W11" s="450">
        <v>1</v>
      </c>
      <c r="X11" s="450"/>
    </row>
    <row r="12" spans="1:24" ht="12.75" customHeight="1">
      <c r="B12" s="443" t="s">
        <v>26</v>
      </c>
      <c r="C12" s="443"/>
      <c r="D12" s="443"/>
      <c r="E12" s="238"/>
      <c r="F12" s="236" t="s">
        <v>22</v>
      </c>
      <c r="G12" s="347"/>
      <c r="H12" s="446" t="s">
        <v>366</v>
      </c>
      <c r="I12" s="445"/>
      <c r="J12" s="445"/>
      <c r="K12" s="218"/>
      <c r="L12" s="219"/>
      <c r="M12" s="347"/>
      <c r="N12" s="446" t="s">
        <v>375</v>
      </c>
      <c r="O12" s="445"/>
      <c r="P12" s="445"/>
      <c r="Q12" s="225"/>
      <c r="R12" s="223"/>
      <c r="T12" s="443" t="s">
        <v>54</v>
      </c>
      <c r="U12" s="443"/>
      <c r="V12" s="443"/>
      <c r="W12" s="450"/>
      <c r="X12" s="450"/>
    </row>
    <row r="13" spans="1:24" ht="12.75" customHeight="1">
      <c r="B13" s="443" t="s">
        <v>589</v>
      </c>
      <c r="C13" s="443"/>
      <c r="D13" s="443"/>
      <c r="E13" s="239"/>
      <c r="F13" s="236" t="s">
        <v>630</v>
      </c>
      <c r="G13" s="347"/>
      <c r="H13" s="443" t="s">
        <v>367</v>
      </c>
      <c r="I13" s="443"/>
      <c r="J13" s="443"/>
      <c r="K13" s="247" t="e">
        <f>Transmission!AG4</f>
        <v>#DIV/0!</v>
      </c>
      <c r="L13" s="346"/>
      <c r="M13" s="347"/>
      <c r="N13" s="443" t="s">
        <v>364</v>
      </c>
      <c r="O13" s="443"/>
      <c r="P13" s="443"/>
      <c r="Q13" s="251" t="e">
        <f>PRODUCT('Calculation Data &amp; Factors'!A29,W25,W23)</f>
        <v>#N/A</v>
      </c>
      <c r="R13" s="251"/>
      <c r="T13" s="347"/>
      <c r="U13" s="347"/>
      <c r="V13" s="347"/>
      <c r="W13" s="229" t="e">
        <f>IF(W12="",W7,W12)</f>
        <v>#N/A</v>
      </c>
      <c r="X13" s="229" t="e">
        <f>1-'FMTC Main'!W13</f>
        <v>#N/A</v>
      </c>
    </row>
    <row r="14" spans="1:24" ht="12.75" customHeight="1">
      <c r="B14" s="443" t="s">
        <v>4</v>
      </c>
      <c r="C14" s="443"/>
      <c r="D14" s="443"/>
      <c r="E14" s="237"/>
      <c r="F14" s="236" t="s">
        <v>17</v>
      </c>
      <c r="G14" s="347"/>
      <c r="H14" s="443" t="str">
        <f>Transmission!AE5</f>
        <v>1st</v>
      </c>
      <c r="I14" s="443"/>
      <c r="J14" s="443"/>
      <c r="K14" s="247" t="e">
        <f>Transmission!$AG5</f>
        <v>#DIV/0!</v>
      </c>
      <c r="L14" s="250"/>
      <c r="M14" s="347"/>
      <c r="N14" s="443" t="s">
        <v>365</v>
      </c>
      <c r="O14" s="443"/>
      <c r="P14" s="443"/>
      <c r="Q14" s="251" t="e">
        <f>PRODUCT('Calculation Data &amp; Factors'!A29,X25,W23)</f>
        <v>#N/A</v>
      </c>
      <c r="R14" s="251"/>
      <c r="T14" s="347"/>
      <c r="U14" s="347"/>
      <c r="V14" s="347"/>
      <c r="W14" s="349"/>
      <c r="X14" s="349"/>
    </row>
    <row r="15" spans="1:24" ht="12.75" customHeight="1">
      <c r="B15" s="443" t="s">
        <v>5</v>
      </c>
      <c r="C15" s="443"/>
      <c r="D15" s="443"/>
      <c r="E15" s="237"/>
      <c r="F15" s="236" t="s">
        <v>17</v>
      </c>
      <c r="G15" s="347"/>
      <c r="H15" s="443" t="str">
        <f>Transmission!AE6</f>
        <v>2nd</v>
      </c>
      <c r="I15" s="443"/>
      <c r="J15" s="443"/>
      <c r="K15" s="247" t="e">
        <f>Transmission!$AG6</f>
        <v>#DIV/0!</v>
      </c>
      <c r="L15" s="346"/>
      <c r="M15" s="347"/>
      <c r="N15" s="446" t="s">
        <v>376</v>
      </c>
      <c r="O15" s="445"/>
      <c r="P15" s="445"/>
      <c r="Q15" s="225"/>
      <c r="R15" s="223"/>
      <c r="T15" s="456" t="s">
        <v>35</v>
      </c>
      <c r="U15" s="456"/>
      <c r="V15" s="457"/>
      <c r="W15" s="349"/>
      <c r="X15" s="349"/>
    </row>
    <row r="16" spans="1:24" ht="12.75" customHeight="1">
      <c r="B16" s="443" t="s">
        <v>3</v>
      </c>
      <c r="C16" s="443"/>
      <c r="D16" s="443"/>
      <c r="E16" s="237"/>
      <c r="F16" s="236" t="s">
        <v>17</v>
      </c>
      <c r="G16" s="347"/>
      <c r="H16" s="443" t="str">
        <f>Transmission!AE7</f>
        <v>3rd</v>
      </c>
      <c r="I16" s="443"/>
      <c r="J16" s="443"/>
      <c r="K16" s="247" t="e">
        <f>Transmission!$AG7</f>
        <v>#DIV/0!</v>
      </c>
      <c r="L16" s="250"/>
      <c r="M16" s="347"/>
      <c r="N16" s="443" t="s">
        <v>364</v>
      </c>
      <c r="O16" s="443"/>
      <c r="P16" s="443"/>
      <c r="Q16" s="251" t="e">
        <f>PRODUCT('Calculation Data &amp; Factors'!A27,W29,W27)</f>
        <v>#N/A</v>
      </c>
      <c r="R16" s="251"/>
      <c r="T16" s="443" t="s">
        <v>53</v>
      </c>
      <c r="U16" s="443"/>
      <c r="V16" s="443"/>
      <c r="W16" s="450">
        <v>1</v>
      </c>
      <c r="X16" s="450"/>
    </row>
    <row r="17" spans="2:26" ht="12.75" customHeight="1">
      <c r="B17" s="443" t="s">
        <v>561</v>
      </c>
      <c r="C17" s="443"/>
      <c r="D17" s="443"/>
      <c r="E17" s="261"/>
      <c r="G17" s="347"/>
      <c r="H17" s="443" t="str">
        <f>Transmission!AE8</f>
        <v>4th</v>
      </c>
      <c r="I17" s="443"/>
      <c r="J17" s="443"/>
      <c r="K17" s="247" t="e">
        <f>Transmission!$AG8</f>
        <v>#DIV/0!</v>
      </c>
      <c r="L17" s="346"/>
      <c r="M17" s="347"/>
      <c r="N17" s="443" t="s">
        <v>365</v>
      </c>
      <c r="O17" s="443"/>
      <c r="P17" s="443"/>
      <c r="Q17" s="251" t="e">
        <f>PRODUCT('Calculation Data &amp; Factors'!A27,X29,W27)</f>
        <v>#N/A</v>
      </c>
      <c r="R17" s="251"/>
      <c r="T17" s="443" t="s">
        <v>54</v>
      </c>
      <c r="U17" s="443"/>
      <c r="V17" s="443"/>
      <c r="W17" s="450"/>
      <c r="X17" s="450"/>
    </row>
    <row r="18" spans="2:26" ht="12.75" customHeight="1" thickBot="1">
      <c r="G18" s="347"/>
      <c r="H18" s="443" t="str">
        <f>Transmission!AE9</f>
        <v>5th</v>
      </c>
      <c r="I18" s="443"/>
      <c r="J18" s="443"/>
      <c r="K18" s="247" t="e">
        <f>Transmission!$AG9</f>
        <v>#DIV/0!</v>
      </c>
      <c r="L18" s="250"/>
      <c r="M18" s="347"/>
      <c r="Q18" s="8"/>
      <c r="R18" s="8"/>
      <c r="T18" s="350"/>
      <c r="U18" s="350"/>
      <c r="V18" s="350"/>
      <c r="W18" s="229">
        <f>IF(W17="",E12/100,W17)</f>
        <v>0</v>
      </c>
      <c r="X18" s="229">
        <f>1-W18</f>
        <v>1</v>
      </c>
    </row>
    <row r="19" spans="2:26" ht="12.75" customHeight="1">
      <c r="G19" s="347"/>
      <c r="H19" s="443" t="str">
        <f>Transmission!AE10</f>
        <v>6th</v>
      </c>
      <c r="I19" s="443"/>
      <c r="J19" s="443"/>
      <c r="K19" s="247">
        <f>Transmission!$AG10</f>
        <v>0.8</v>
      </c>
      <c r="L19" s="346"/>
      <c r="M19" s="347"/>
      <c r="N19" s="447" t="s">
        <v>769</v>
      </c>
      <c r="O19" s="448"/>
      <c r="P19" s="448"/>
      <c r="Q19" s="448"/>
      <c r="R19" s="449"/>
      <c r="T19" s="443" t="s">
        <v>52</v>
      </c>
      <c r="U19" s="443"/>
      <c r="V19" s="443"/>
      <c r="W19" s="230" t="e">
        <f>MROUND(PRODUCT('Calculation Data &amp; Factors'!A23,W18),(IF(E5="Metric",0.1,0.5)))</f>
        <v>#N/A</v>
      </c>
      <c r="X19" s="230" t="e">
        <f>MROUND(PRODUCT('Calculation Data &amp; Factors'!A23,X18),(IF(E5="Metric",0.1,0.5)))</f>
        <v>#N/A</v>
      </c>
    </row>
    <row r="20" spans="2:26" ht="12.75" customHeight="1" thickBot="1">
      <c r="G20" s="347"/>
      <c r="M20" s="347"/>
      <c r="O20" s="4"/>
      <c r="P20" s="4"/>
      <c r="Q20" s="9"/>
      <c r="R20" s="9"/>
      <c r="T20" s="443" t="s">
        <v>55</v>
      </c>
      <c r="U20" s="443"/>
      <c r="V20" s="443"/>
      <c r="W20" s="464" t="e">
        <f>(PRODUCT((Q7+Q8),2)/IF(E5="Metric",0.393700787,1))/E11</f>
        <v>#N/A</v>
      </c>
      <c r="X20" s="464"/>
    </row>
    <row r="21" spans="2:26" ht="12.75" customHeight="1">
      <c r="B21" s="458" t="s">
        <v>31</v>
      </c>
      <c r="C21" s="458"/>
      <c r="D21" s="459"/>
      <c r="G21" s="347"/>
      <c r="H21" s="447" t="s">
        <v>772</v>
      </c>
      <c r="I21" s="448"/>
      <c r="J21" s="448"/>
      <c r="K21" s="448"/>
      <c r="L21" s="449"/>
      <c r="M21" s="347"/>
      <c r="N21" s="446" t="s">
        <v>377</v>
      </c>
      <c r="O21" s="445"/>
      <c r="P21" s="445"/>
      <c r="Q21" s="215" t="s">
        <v>364</v>
      </c>
      <c r="R21" s="216"/>
      <c r="T21" s="347"/>
      <c r="U21" s="347"/>
      <c r="V21" s="347"/>
      <c r="W21" s="349"/>
      <c r="X21" s="349"/>
    </row>
    <row r="22" spans="2:26" ht="12.75" customHeight="1">
      <c r="B22" s="443" t="s">
        <v>0</v>
      </c>
      <c r="C22" s="443"/>
      <c r="D22" s="443"/>
      <c r="E22" s="240"/>
      <c r="F22" s="241" t="s">
        <v>23</v>
      </c>
      <c r="G22" s="347"/>
      <c r="I22" s="4"/>
      <c r="J22" s="4"/>
      <c r="K22" s="4"/>
      <c r="L22" s="5"/>
      <c r="M22" s="347"/>
      <c r="N22" s="443" t="s">
        <v>378</v>
      </c>
      <c r="O22" s="443"/>
      <c r="P22" s="443"/>
      <c r="Q22" s="256" t="e">
        <f>Graveyard!E40</f>
        <v>#N/A</v>
      </c>
      <c r="R22" s="256"/>
      <c r="T22" s="456" t="s">
        <v>36</v>
      </c>
      <c r="U22" s="456"/>
      <c r="V22" s="457"/>
    </row>
    <row r="23" spans="2:26" ht="12.75" customHeight="1">
      <c r="B23" s="443" t="s">
        <v>1</v>
      </c>
      <c r="C23" s="443"/>
      <c r="D23" s="443"/>
      <c r="E23" s="240"/>
      <c r="F23" s="241" t="s">
        <v>22</v>
      </c>
      <c r="G23" s="347"/>
      <c r="H23" s="444" t="s">
        <v>370</v>
      </c>
      <c r="I23" s="445"/>
      <c r="J23" s="445"/>
      <c r="K23" s="221"/>
      <c r="L23" s="220"/>
      <c r="M23" s="347"/>
      <c r="N23" s="446" t="s">
        <v>377</v>
      </c>
      <c r="O23" s="445"/>
      <c r="P23" s="445"/>
      <c r="Q23" s="226"/>
      <c r="R23" s="224"/>
      <c r="T23" s="443" t="s">
        <v>53</v>
      </c>
      <c r="U23" s="443"/>
      <c r="V23" s="443"/>
      <c r="W23" s="450">
        <v>1</v>
      </c>
      <c r="X23" s="450"/>
    </row>
    <row r="24" spans="2:26" ht="12.75" customHeight="1">
      <c r="B24" s="443" t="s">
        <v>2</v>
      </c>
      <c r="C24" s="443"/>
      <c r="D24" s="443"/>
      <c r="E24" s="240"/>
      <c r="F24" s="241" t="s">
        <v>21</v>
      </c>
      <c r="G24" s="347"/>
      <c r="H24" s="259">
        <v>-0.375</v>
      </c>
      <c r="I24" s="443" t="s">
        <v>364</v>
      </c>
      <c r="J24" s="443"/>
      <c r="K24" s="251" t="e">
        <f>DEGREES(ATAN(((H24)*IF('FMTC Main'!E5="Metric",0.0254,1))/('Tire Dynamics'!E10)))</f>
        <v>#DIV/0!</v>
      </c>
      <c r="L24" s="252" t="s">
        <v>33</v>
      </c>
      <c r="M24" s="347"/>
      <c r="N24" s="443" t="s">
        <v>379</v>
      </c>
      <c r="O24" s="443"/>
      <c r="P24" s="443"/>
      <c r="Q24" s="256" t="e">
        <f>Graveyard!E41</f>
        <v>#N/A</v>
      </c>
      <c r="R24" s="256"/>
      <c r="T24" s="443" t="s">
        <v>54</v>
      </c>
      <c r="U24" s="443"/>
      <c r="V24" s="443"/>
      <c r="W24" s="450"/>
      <c r="X24" s="450"/>
    </row>
    <row r="25" spans="2:26" ht="12.75" customHeight="1" thickBot="1">
      <c r="B25" s="347"/>
      <c r="C25" s="347"/>
      <c r="D25" s="347"/>
      <c r="G25" s="347"/>
      <c r="H25" s="259">
        <v>-0.375</v>
      </c>
      <c r="I25" s="443" t="s">
        <v>365</v>
      </c>
      <c r="J25" s="443"/>
      <c r="K25" s="251" t="e">
        <f>DEGREES(ATAN(((H25)*IF('FMTC Main'!E5="Metric",0.0254,1))/('Tire Dynamics'!K10)))</f>
        <v>#DIV/0!</v>
      </c>
      <c r="L25" s="252" t="s">
        <v>33</v>
      </c>
      <c r="M25" s="347"/>
      <c r="T25" s="347"/>
      <c r="U25" s="347"/>
      <c r="V25" s="347"/>
      <c r="W25" s="229" t="e">
        <f>IF(W24="",MROUND(Q7/(Q7+Q8),0.001),W24)</f>
        <v>#N/A</v>
      </c>
      <c r="X25" s="229" t="e">
        <f>1-W25</f>
        <v>#N/A</v>
      </c>
      <c r="Z25" s="3"/>
    </row>
    <row r="26" spans="2:26" ht="12.75" customHeight="1">
      <c r="B26" s="458" t="s">
        <v>32</v>
      </c>
      <c r="C26" s="458"/>
      <c r="D26" s="459"/>
      <c r="G26" s="347"/>
      <c r="H26" s="444" t="s">
        <v>371</v>
      </c>
      <c r="I26" s="445"/>
      <c r="J26" s="445"/>
      <c r="K26" s="221"/>
      <c r="L26" s="220"/>
      <c r="M26" s="347"/>
      <c r="N26" s="447" t="s">
        <v>776</v>
      </c>
      <c r="O26" s="448"/>
      <c r="P26" s="448"/>
      <c r="Q26" s="448"/>
      <c r="R26" s="449"/>
      <c r="T26" s="456" t="s">
        <v>37</v>
      </c>
      <c r="U26" s="456"/>
      <c r="V26" s="457"/>
      <c r="W26" s="349"/>
      <c r="X26" s="349"/>
    </row>
    <row r="27" spans="2:26" ht="12.75" customHeight="1">
      <c r="B27" s="443" t="s">
        <v>0</v>
      </c>
      <c r="C27" s="443"/>
      <c r="D27" s="443"/>
      <c r="E27" s="240"/>
      <c r="F27" s="241" t="s">
        <v>23</v>
      </c>
      <c r="G27" s="347"/>
      <c r="H27" s="259">
        <v>6.25E-2</v>
      </c>
      <c r="I27" s="443" t="s">
        <v>364</v>
      </c>
      <c r="J27" s="443"/>
      <c r="K27" s="251" t="e">
        <f>DEGREES(ASIN(((H27)*IF('FMTC Main'!E5="Metric",0.0254,1))/('Tire Dynamics'!E10)))</f>
        <v>#DIV/0!</v>
      </c>
      <c r="L27" s="252" t="s">
        <v>33</v>
      </c>
      <c r="M27" s="347"/>
      <c r="O27" s="1"/>
      <c r="P27" s="1"/>
      <c r="Q27" s="6"/>
      <c r="R27" s="6"/>
      <c r="T27" s="443" t="s">
        <v>53</v>
      </c>
      <c r="U27" s="443"/>
      <c r="V27" s="443"/>
      <c r="W27" s="450">
        <v>1</v>
      </c>
      <c r="X27" s="450"/>
    </row>
    <row r="28" spans="2:26" ht="12.75" customHeight="1">
      <c r="B28" s="443" t="s">
        <v>1</v>
      </c>
      <c r="C28" s="443"/>
      <c r="D28" s="443"/>
      <c r="E28" s="240"/>
      <c r="F28" s="241" t="s">
        <v>22</v>
      </c>
      <c r="G28" s="351"/>
      <c r="H28" s="259">
        <v>-6.25E-2</v>
      </c>
      <c r="I28" s="443" t="s">
        <v>365</v>
      </c>
      <c r="J28" s="443"/>
      <c r="K28" s="251" t="e">
        <f>DEGREES(ASIN(((H28)*IF('FMTC Main'!E5="Metric",0.0254,1))/('Tire Dynamics'!K10)))</f>
        <v>#DIV/0!</v>
      </c>
      <c r="L28" s="252" t="s">
        <v>33</v>
      </c>
      <c r="M28" s="347"/>
      <c r="N28" s="446" t="str">
        <f>IF(OR(E8="FWD", E8="AWD"), "front","rear")</f>
        <v>rear</v>
      </c>
      <c r="O28" s="445"/>
      <c r="P28" s="445"/>
      <c r="Q28" s="213"/>
      <c r="R28" s="214"/>
      <c r="T28" s="443" t="s">
        <v>54</v>
      </c>
      <c r="U28" s="443"/>
      <c r="V28" s="443"/>
      <c r="W28" s="450"/>
      <c r="X28" s="450"/>
    </row>
    <row r="29" spans="2:26" ht="12.75" customHeight="1">
      <c r="B29" s="443" t="s">
        <v>2</v>
      </c>
      <c r="C29" s="443"/>
      <c r="D29" s="443"/>
      <c r="E29" s="240"/>
      <c r="F29" s="241" t="s">
        <v>21</v>
      </c>
      <c r="G29" s="351"/>
      <c r="H29" s="446" t="s">
        <v>372</v>
      </c>
      <c r="I29" s="445"/>
      <c r="J29" s="445"/>
      <c r="K29" s="221"/>
      <c r="L29" s="220"/>
      <c r="M29" s="347"/>
      <c r="N29" s="443" t="s">
        <v>358</v>
      </c>
      <c r="O29" s="443"/>
      <c r="P29" s="443"/>
      <c r="Q29" s="256" t="e">
        <f>IF(OR(E8="FWD", E8="AWD"),VLOOKUP(E8,'Calculation Data &amp; Factors'!A3:L5,3,FALSE),VLOOKUP(E8,'Calculation Data &amp; Factors'!A3:L5,7,FALSE))</f>
        <v>#N/A</v>
      </c>
      <c r="R29" s="256"/>
      <c r="T29" s="347"/>
      <c r="U29" s="347"/>
      <c r="V29" s="347"/>
      <c r="W29" s="229" t="e">
        <f>IF(W28="",MROUND(Q7/(Q7+Q8),0.001),W28)</f>
        <v>#N/A</v>
      </c>
      <c r="X29" s="229" t="e">
        <f>1-W29</f>
        <v>#N/A</v>
      </c>
    </row>
    <row r="30" spans="2:26" ht="12.75" customHeight="1">
      <c r="G30" s="347"/>
      <c r="H30" s="443" t="s">
        <v>368</v>
      </c>
      <c r="I30" s="443"/>
      <c r="J30" s="443"/>
      <c r="K30" s="251" t="e">
        <f>IF(DEGREES(SIN(('Tire Dynamics'!C24/2)/('Tire Dynamics'!D24)))&gt;7,7,DEGREES(SIN(('Tire Dynamics'!C24/2)/('Tire Dynamics'!D24))))</f>
        <v>#DIV/0!</v>
      </c>
      <c r="L30" s="252" t="s">
        <v>33</v>
      </c>
      <c r="M30" s="347"/>
      <c r="N30" s="443" t="s">
        <v>380</v>
      </c>
      <c r="O30" s="443"/>
      <c r="P30" s="443"/>
      <c r="Q30" s="256" t="e">
        <f>IF(OR(E8="FWD",E8="AWD"), VLOOKUP(E8,'Calculation Data &amp; Factors'!A3:L5,5,FALSE),VLOOKUP(E8,'Calculation Data &amp; Factors'!A3:L5,9,FALSE))</f>
        <v>#DIV/0!</v>
      </c>
      <c r="R30" s="256"/>
      <c r="W30" s="349"/>
      <c r="X30" s="349"/>
    </row>
    <row r="31" spans="2:26" ht="12.75" customHeight="1" thickBot="1">
      <c r="G31" s="347"/>
      <c r="M31" s="347"/>
      <c r="N31" s="446" t="str">
        <f>IF(E8="AWD", "rear","")</f>
        <v/>
      </c>
      <c r="O31" s="445"/>
      <c r="P31" s="445"/>
      <c r="Q31" s="213"/>
      <c r="R31" s="214"/>
      <c r="T31" s="456" t="s">
        <v>39</v>
      </c>
      <c r="U31" s="456"/>
      <c r="V31" s="457"/>
      <c r="W31" s="165"/>
      <c r="X31" s="165"/>
    </row>
    <row r="32" spans="2:26" ht="12.75" customHeight="1">
      <c r="G32" s="347"/>
      <c r="H32" s="447" t="s">
        <v>773</v>
      </c>
      <c r="I32" s="448"/>
      <c r="J32" s="448"/>
      <c r="K32" s="448"/>
      <c r="L32" s="449"/>
      <c r="M32" s="347"/>
      <c r="N32" s="443" t="str">
        <f>IF(RIGHT(E8,3)="AWD", "acceleration","")</f>
        <v/>
      </c>
      <c r="O32" s="443"/>
      <c r="P32" s="443"/>
      <c r="Q32" s="256" t="str">
        <f>IF(E8="AWD", VLOOKUP(E8,'Calculation Data &amp; Factors'!A3:L5,7,FALSE),"")</f>
        <v/>
      </c>
      <c r="R32" s="256"/>
      <c r="T32" s="443" t="s">
        <v>768</v>
      </c>
      <c r="U32" s="443"/>
      <c r="V32" s="443"/>
      <c r="W32" s="245"/>
      <c r="X32" s="246"/>
    </row>
    <row r="33" spans="1:24" ht="12.75" customHeight="1">
      <c r="B33" s="452" t="s">
        <v>71</v>
      </c>
      <c r="C33" s="452"/>
      <c r="D33" s="453"/>
      <c r="G33" s="347"/>
      <c r="I33" s="1"/>
      <c r="J33" s="1"/>
      <c r="K33" s="1"/>
      <c r="L33" s="2"/>
      <c r="M33" s="347"/>
      <c r="N33" s="443" t="str">
        <f>IF(RIGHT(E8,3)="AWD", "deceleration","")</f>
        <v/>
      </c>
      <c r="O33" s="443"/>
      <c r="P33" s="443"/>
      <c r="Q33" s="256" t="str">
        <f>IF(E8="AWD", VLOOKUP(E8,'Calculation Data &amp; Factors'!A3:L5,9,FALSE),"")</f>
        <v/>
      </c>
      <c r="R33" s="256"/>
      <c r="T33" s="443" t="s">
        <v>644</v>
      </c>
      <c r="U33" s="443"/>
      <c r="V33" s="443"/>
      <c r="W33" s="245"/>
      <c r="X33" s="246"/>
    </row>
    <row r="34" spans="1:24" ht="12.75" customHeight="1">
      <c r="B34" s="454" t="s">
        <v>63</v>
      </c>
      <c r="C34" s="454"/>
      <c r="D34" s="454"/>
      <c r="E34" s="242"/>
      <c r="F34" s="243" t="str">
        <f>IF('FMTC Main'!E5="Metric","km/h","mph")</f>
        <v>mph</v>
      </c>
      <c r="G34" s="347"/>
      <c r="H34" s="446" t="s">
        <v>373</v>
      </c>
      <c r="I34" s="445"/>
      <c r="J34" s="445"/>
      <c r="K34" s="222"/>
      <c r="L34" s="220"/>
      <c r="M34" s="347"/>
      <c r="N34" s="13"/>
      <c r="O34" s="120"/>
      <c r="P34" s="120"/>
      <c r="Q34" s="120"/>
      <c r="R34" s="120"/>
      <c r="T34" s="443" t="s">
        <v>53</v>
      </c>
      <c r="U34" s="443"/>
      <c r="V34" s="443"/>
      <c r="W34" s="450">
        <v>0.5</v>
      </c>
      <c r="X34" s="450"/>
    </row>
    <row r="35" spans="1:24" ht="12.75" customHeight="1">
      <c r="B35" s="451" t="s">
        <v>665</v>
      </c>
      <c r="C35" s="451"/>
      <c r="D35" s="451"/>
      <c r="E35" s="304"/>
      <c r="G35" s="347"/>
      <c r="H35" s="443" t="s">
        <v>364</v>
      </c>
      <c r="I35" s="443"/>
      <c r="J35" s="443"/>
      <c r="K35" s="247" t="e">
        <f>MROUND(PRODUCT('Calculation Data &amp; Factors'!A17,'FMTC Main'!W13,W11),0.1)</f>
        <v>#N/A</v>
      </c>
      <c r="L35" s="346"/>
      <c r="M35" s="347"/>
      <c r="N35" s="446" t="str">
        <f>IF(E8="AWD", "center","")</f>
        <v/>
      </c>
      <c r="O35" s="445"/>
      <c r="P35" s="445"/>
      <c r="Q35" s="213"/>
      <c r="R35" s="214"/>
      <c r="T35" s="443" t="s">
        <v>54</v>
      </c>
      <c r="U35" s="443"/>
      <c r="V35" s="443"/>
      <c r="W35" s="450"/>
      <c r="X35" s="450"/>
    </row>
    <row r="36" spans="1:24" ht="12.75" customHeight="1">
      <c r="B36" s="451" t="s">
        <v>1024</v>
      </c>
      <c r="C36" s="451"/>
      <c r="D36" s="451"/>
      <c r="E36" s="305">
        <v>6</v>
      </c>
      <c r="G36" s="352"/>
      <c r="H36" s="443" t="s">
        <v>365</v>
      </c>
      <c r="I36" s="443"/>
      <c r="J36" s="443"/>
      <c r="K36" s="247" t="e">
        <f>MROUND(PRODUCT('Calculation Data &amp; Factors'!A17,X13,W11),0.1)</f>
        <v>#N/A</v>
      </c>
      <c r="L36" s="346"/>
      <c r="M36" s="347"/>
      <c r="N36" s="455" t="str">
        <f>IF(RIGHT(E8,3)="AWD", "torque","")</f>
        <v/>
      </c>
      <c r="O36" s="455"/>
      <c r="P36" s="455"/>
      <c r="Q36" s="257" t="str">
        <f>IF(E8="AWD", VLOOKUP(E8,'Calculation Data &amp; Factors'!A3:L5,11,FALSE),"")</f>
        <v/>
      </c>
      <c r="R36" s="257"/>
      <c r="T36" s="340"/>
      <c r="U36" s="340"/>
      <c r="V36" s="340"/>
      <c r="W36" s="229">
        <f>IF(AND(AND('FMTC Main'!W33="",'FMTC Main'!X33=""),W35=""),0,IF(W35="",(W33-W32)/((W33-W32)+(X33-X32)),W35))</f>
        <v>0</v>
      </c>
      <c r="X36" s="229">
        <f>IF(AND(AND('FMTC Main'!W33="",'FMTC Main'!X33=""),W35=""),0,1-W36)</f>
        <v>0</v>
      </c>
    </row>
    <row r="37" spans="1:24" ht="12.75" customHeight="1">
      <c r="B37" s="451" t="s">
        <v>737</v>
      </c>
      <c r="C37" s="451"/>
      <c r="D37" s="451"/>
      <c r="E37" s="244">
        <v>0</v>
      </c>
      <c r="G37" s="3"/>
      <c r="H37" s="210"/>
      <c r="I37" s="211"/>
      <c r="J37" s="211"/>
      <c r="K37" s="211"/>
      <c r="L37" s="211"/>
      <c r="M37" s="353"/>
      <c r="N37" s="353"/>
      <c r="O37" s="353"/>
      <c r="P37" s="353"/>
      <c r="Q37" s="353"/>
      <c r="R37" s="353"/>
      <c r="T37" s="443" t="s">
        <v>645</v>
      </c>
      <c r="U37" s="443"/>
      <c r="V37" s="443"/>
      <c r="W37" s="231">
        <f>(((W33-W32)+(X33-X32))*W34*W36)+W32</f>
        <v>0</v>
      </c>
      <c r="X37" s="231">
        <f>(((W33-W32)+(X33-X32))*W34*X36)+X32</f>
        <v>0</v>
      </c>
    </row>
    <row r="38" spans="1:24" ht="12.75" customHeight="1">
      <c r="G38" s="260"/>
      <c r="H38" s="465" t="s">
        <v>1176</v>
      </c>
      <c r="I38" s="465"/>
      <c r="J38" s="465"/>
      <c r="K38" s="465"/>
      <c r="L38" s="465"/>
      <c r="M38" s="465"/>
      <c r="N38" s="465"/>
      <c r="O38" s="465"/>
      <c r="P38" s="465"/>
      <c r="Q38" s="465"/>
      <c r="R38" s="465"/>
      <c r="S38" s="260"/>
      <c r="T38" s="260"/>
      <c r="U38" s="260"/>
      <c r="V38" s="260"/>
      <c r="W38" s="260"/>
      <c r="X38" s="260"/>
    </row>
    <row r="39" spans="1:24" ht="12.75" customHeight="1">
      <c r="A39" s="260"/>
      <c r="G39" s="260"/>
      <c r="H39" s="466"/>
      <c r="I39" s="466"/>
      <c r="J39" s="466"/>
      <c r="K39" s="466"/>
      <c r="L39" s="466"/>
      <c r="M39" s="466"/>
      <c r="N39" s="466"/>
      <c r="O39" s="466"/>
      <c r="P39" s="466"/>
      <c r="Q39" s="466"/>
      <c r="R39" s="466"/>
      <c r="S39" s="260"/>
      <c r="T39" s="260"/>
      <c r="U39" s="260"/>
      <c r="V39" s="260"/>
      <c r="W39" s="260"/>
      <c r="X39" s="260"/>
    </row>
    <row r="40" spans="1:24" ht="12.75" customHeight="1">
      <c r="G40" s="25"/>
      <c r="H40" s="3"/>
      <c r="L40" s="25"/>
      <c r="N40" s="3"/>
      <c r="Q40" s="13"/>
      <c r="S40" s="3"/>
      <c r="U40" s="169"/>
      <c r="V40" s="169"/>
      <c r="W40" s="3"/>
      <c r="X40" s="3"/>
    </row>
    <row r="41" spans="1:24" ht="12.75" customHeight="1">
      <c r="G41" s="347"/>
      <c r="P41" s="3" t="s">
        <v>742</v>
      </c>
      <c r="S41" s="113"/>
      <c r="V41" s="26"/>
      <c r="W41" s="3"/>
      <c r="X41" s="113"/>
    </row>
    <row r="42" spans="1:24" ht="12.75" customHeight="1">
      <c r="G42" s="347"/>
      <c r="S42" s="3"/>
      <c r="T42" s="26"/>
      <c r="U42" s="329"/>
      <c r="W42" s="22"/>
      <c r="X42" s="113"/>
    </row>
    <row r="43" spans="1:24" ht="12.75" customHeight="1">
      <c r="G43" s="347"/>
      <c r="N43" s="176"/>
      <c r="S43" s="3"/>
      <c r="T43" s="26"/>
      <c r="U43" s="329"/>
      <c r="W43" s="22"/>
      <c r="X43" s="113"/>
    </row>
    <row r="44" spans="1:24" ht="12.75" customHeight="1">
      <c r="G44" s="347"/>
      <c r="S44" s="3"/>
      <c r="V44" s="26"/>
      <c r="W44" s="329"/>
      <c r="X44" s="22"/>
    </row>
    <row r="45" spans="1:24" ht="12.75" customHeight="1">
      <c r="G45" s="347"/>
      <c r="V45" s="26"/>
      <c r="W45" s="3"/>
      <c r="X45" s="22"/>
    </row>
    <row r="46" spans="1:24" ht="12.75" customHeight="1">
      <c r="G46" s="347"/>
      <c r="X46" s="3"/>
    </row>
    <row r="47" spans="1:24" ht="12.75" customHeight="1">
      <c r="G47" s="347"/>
      <c r="X47" s="3"/>
    </row>
    <row r="48" spans="1:24" ht="12.75" customHeight="1">
      <c r="E48" s="347"/>
      <c r="G48" s="347"/>
      <c r="X48" s="3"/>
    </row>
    <row r="49" spans="2:24" ht="12.75" customHeight="1">
      <c r="C49" s="347"/>
      <c r="E49" s="347"/>
      <c r="F49" s="347"/>
      <c r="G49" s="347"/>
      <c r="X49" s="3"/>
    </row>
    <row r="50" spans="2:24" ht="12.75" customHeight="1">
      <c r="B50" s="347"/>
      <c r="C50" s="347"/>
      <c r="D50" s="347"/>
      <c r="F50" s="347"/>
      <c r="G50" s="347"/>
      <c r="X50" s="3"/>
    </row>
    <row r="51" spans="2:24" ht="12.75" customHeight="1">
      <c r="B51" s="347"/>
      <c r="D51" s="347"/>
      <c r="G51" s="347"/>
      <c r="X51" s="3"/>
    </row>
    <row r="52" spans="2:24" ht="12.75" customHeight="1">
      <c r="G52" s="347"/>
    </row>
    <row r="53" spans="2:24" ht="12.75" customHeight="1">
      <c r="G53" s="347"/>
    </row>
    <row r="54" spans="2:24" ht="12.75" customHeight="1">
      <c r="G54" s="347"/>
    </row>
  </sheetData>
  <sheetProtection sheet="1" objects="1" scenarios="1" selectLockedCells="1"/>
  <dataConsolidate/>
  <mergeCells count="125">
    <mergeCell ref="W6:X6"/>
    <mergeCell ref="T6:V6"/>
    <mergeCell ref="A1:F1"/>
    <mergeCell ref="N8:P8"/>
    <mergeCell ref="T7:V7"/>
    <mergeCell ref="N6:P6"/>
    <mergeCell ref="N10:R10"/>
    <mergeCell ref="H12:J12"/>
    <mergeCell ref="T23:V23"/>
    <mergeCell ref="H1:R1"/>
    <mergeCell ref="T5:V5"/>
    <mergeCell ref="T8:V8"/>
    <mergeCell ref="T2:X2"/>
    <mergeCell ref="W11:X11"/>
    <mergeCell ref="H2:R2"/>
    <mergeCell ref="N4:R4"/>
    <mergeCell ref="H6:J6"/>
    <mergeCell ref="H7:J7"/>
    <mergeCell ref="H8:J8"/>
    <mergeCell ref="H10:L10"/>
    <mergeCell ref="H4:L4"/>
    <mergeCell ref="W5:X5"/>
    <mergeCell ref="E8:F8"/>
    <mergeCell ref="B6:D6"/>
    <mergeCell ref="N7:P7"/>
    <mergeCell ref="H38:R39"/>
    <mergeCell ref="H14:J14"/>
    <mergeCell ref="T22:V22"/>
    <mergeCell ref="W28:X28"/>
    <mergeCell ref="I24:J24"/>
    <mergeCell ref="I25:J25"/>
    <mergeCell ref="I27:J27"/>
    <mergeCell ref="I28:J28"/>
    <mergeCell ref="T24:V24"/>
    <mergeCell ref="H26:J26"/>
    <mergeCell ref="N26:R26"/>
    <mergeCell ref="N23:P23"/>
    <mergeCell ref="T26:V26"/>
    <mergeCell ref="N14:P14"/>
    <mergeCell ref="H15:J15"/>
    <mergeCell ref="N15:P15"/>
    <mergeCell ref="H19:J19"/>
    <mergeCell ref="N16:P16"/>
    <mergeCell ref="N19:R19"/>
    <mergeCell ref="W17:X17"/>
    <mergeCell ref="W16:X16"/>
    <mergeCell ref="T16:V16"/>
    <mergeCell ref="T17:V17"/>
    <mergeCell ref="H17:J17"/>
    <mergeCell ref="H18:J18"/>
    <mergeCell ref="H16:J16"/>
    <mergeCell ref="N17:P17"/>
    <mergeCell ref="W20:X20"/>
    <mergeCell ref="T19:V19"/>
    <mergeCell ref="B8:D8"/>
    <mergeCell ref="T20:V20"/>
    <mergeCell ref="W12:X12"/>
    <mergeCell ref="T15:V15"/>
    <mergeCell ref="T10:V10"/>
    <mergeCell ref="T11:V11"/>
    <mergeCell ref="T12:V12"/>
    <mergeCell ref="N13:P13"/>
    <mergeCell ref="N12:P12"/>
    <mergeCell ref="H13:J13"/>
    <mergeCell ref="B2:F2"/>
    <mergeCell ref="B4:D4"/>
    <mergeCell ref="B5:D5"/>
    <mergeCell ref="B10:D10"/>
    <mergeCell ref="B7:D7"/>
    <mergeCell ref="B14:D14"/>
    <mergeCell ref="B13:D13"/>
    <mergeCell ref="B11:D11"/>
    <mergeCell ref="E7:F7"/>
    <mergeCell ref="E5:F5"/>
    <mergeCell ref="B12:D12"/>
    <mergeCell ref="B9:D9"/>
    <mergeCell ref="E4:F4"/>
    <mergeCell ref="B22:D22"/>
    <mergeCell ref="B27:D27"/>
    <mergeCell ref="B23:D23"/>
    <mergeCell ref="B15:D15"/>
    <mergeCell ref="B17:D17"/>
    <mergeCell ref="B29:D29"/>
    <mergeCell ref="B24:D24"/>
    <mergeCell ref="B16:D16"/>
    <mergeCell ref="B26:D26"/>
    <mergeCell ref="B28:D28"/>
    <mergeCell ref="B21:D21"/>
    <mergeCell ref="B33:D33"/>
    <mergeCell ref="B34:D34"/>
    <mergeCell ref="T33:V33"/>
    <mergeCell ref="N36:P36"/>
    <mergeCell ref="H35:J35"/>
    <mergeCell ref="T32:V32"/>
    <mergeCell ref="N33:P33"/>
    <mergeCell ref="W23:X23"/>
    <mergeCell ref="W27:X27"/>
    <mergeCell ref="B35:D35"/>
    <mergeCell ref="T27:V27"/>
    <mergeCell ref="W24:X24"/>
    <mergeCell ref="T31:V31"/>
    <mergeCell ref="H32:L32"/>
    <mergeCell ref="T28:V28"/>
    <mergeCell ref="H29:J29"/>
    <mergeCell ref="H30:J30"/>
    <mergeCell ref="N31:P31"/>
    <mergeCell ref="T37:V37"/>
    <mergeCell ref="W34:X34"/>
    <mergeCell ref="T34:V34"/>
    <mergeCell ref="T35:V35"/>
    <mergeCell ref="W35:X35"/>
    <mergeCell ref="H36:J36"/>
    <mergeCell ref="B37:D37"/>
    <mergeCell ref="N35:P35"/>
    <mergeCell ref="H34:J34"/>
    <mergeCell ref="B36:D36"/>
    <mergeCell ref="N22:P22"/>
    <mergeCell ref="H23:J23"/>
    <mergeCell ref="N28:P28"/>
    <mergeCell ref="H21:L21"/>
    <mergeCell ref="N32:P32"/>
    <mergeCell ref="N30:P30"/>
    <mergeCell ref="N29:P29"/>
    <mergeCell ref="N21:P21"/>
    <mergeCell ref="N24:P24"/>
  </mergeCells>
  <conditionalFormatting sqref="W33:X36 W30:X30 N35:R36 S1:W1 N2:R21 H2:M6 B6:D6 F6 T23:X29 T22:V22 T37:V37 T2:X4 C14:F16 F13 H9:M23 H7:J8 L7:M8 H29:M37 H26:M26 T31:V31 T33:V35 T7:V7 X7 T9:X12 H24:I24 K24:M25 I25 K27:M28 I27:I28 C11:F12 C9:D10 F9:F10 N25:R33 N24:P24 R24 T13:V13 X13 G2:G35 A1 B21 B26 B9:B16 B8:F8 B2:F3 B5:F5 B17:E17 N23:R23 N22:P22 R22 B22:F25 B27:F29 T14:X21">
    <cfRule type="containsErrors" dxfId="91" priority="131" stopIfTrue="1">
      <formula>ISERROR(A1)</formula>
    </cfRule>
  </conditionalFormatting>
  <conditionalFormatting sqref="E6">
    <cfRule type="cellIs" dxfId="90" priority="114" stopIfTrue="1" operator="equal">
      <formula>"X"</formula>
    </cfRule>
    <cfRule type="cellIs" dxfId="89" priority="115" stopIfTrue="1" operator="equal">
      <formula>"R1"</formula>
    </cfRule>
    <cfRule type="cellIs" dxfId="88" priority="116" stopIfTrue="1" operator="equal">
      <formula>"R2"</formula>
    </cfRule>
    <cfRule type="cellIs" dxfId="87" priority="117" stopIfTrue="1" operator="equal">
      <formula>"R3"</formula>
    </cfRule>
    <cfRule type="cellIs" dxfId="86" priority="118" stopIfTrue="1" operator="equal">
      <formula>"S"</formula>
    </cfRule>
    <cfRule type="cellIs" dxfId="85" priority="119" stopIfTrue="1" operator="equal">
      <formula>"A"</formula>
    </cfRule>
    <cfRule type="cellIs" dxfId="84" priority="120" stopIfTrue="1" operator="equal">
      <formula>"B"</formula>
    </cfRule>
    <cfRule type="cellIs" dxfId="83" priority="121" stopIfTrue="1" operator="equal">
      <formula>"C"</formula>
    </cfRule>
    <cfRule type="cellIs" dxfId="82" priority="122" stopIfTrue="1" operator="equal">
      <formula>"D"</formula>
    </cfRule>
    <cfRule type="cellIs" dxfId="81" priority="123" stopIfTrue="1" operator="equal">
      <formula>"E"</formula>
    </cfRule>
    <cfRule type="cellIs" dxfId="80" priority="124" stopIfTrue="1" operator="equal">
      <formula>"F"</formula>
    </cfRule>
  </conditionalFormatting>
  <conditionalFormatting sqref="E36 E34:F34">
    <cfRule type="containsErrors" dxfId="79" priority="87" stopIfTrue="1">
      <formula>ISERROR(E34)</formula>
    </cfRule>
  </conditionalFormatting>
  <conditionalFormatting sqref="B7:F7">
    <cfRule type="containsErrors" dxfId="78" priority="70" stopIfTrue="1">
      <formula>ISERROR(B7)</formula>
    </cfRule>
  </conditionalFormatting>
  <conditionalFormatting sqref="E35">
    <cfRule type="containsErrors" dxfId="77" priority="69" stopIfTrue="1">
      <formula>ISERROR(E35)</formula>
    </cfRule>
  </conditionalFormatting>
  <conditionalFormatting sqref="T5">
    <cfRule type="containsErrors" dxfId="76" priority="63" stopIfTrue="1">
      <formula>ISERROR(T5)</formula>
    </cfRule>
  </conditionalFormatting>
  <conditionalFormatting sqref="H28">
    <cfRule type="containsErrors" dxfId="75" priority="46" stopIfTrue="1">
      <formula>ISERROR(H28)</formula>
    </cfRule>
  </conditionalFormatting>
  <conditionalFormatting sqref="H25">
    <cfRule type="containsErrors" dxfId="74" priority="48" stopIfTrue="1">
      <formula>ISERROR(H25)</formula>
    </cfRule>
  </conditionalFormatting>
  <conditionalFormatting sqref="H27">
    <cfRule type="containsErrors" dxfId="73" priority="47" stopIfTrue="1">
      <formula>ISERROR(H27)</formula>
    </cfRule>
  </conditionalFormatting>
  <conditionalFormatting sqref="T32:X32">
    <cfRule type="containsErrors" dxfId="72" priority="45" stopIfTrue="1">
      <formula>ISERROR(T32)</formula>
    </cfRule>
  </conditionalFormatting>
  <conditionalFormatting sqref="W7">
    <cfRule type="containsErrors" dxfId="71" priority="44" stopIfTrue="1">
      <formula>ISERROR(W7)</formula>
    </cfRule>
  </conditionalFormatting>
  <conditionalFormatting sqref="T8:V8 X8">
    <cfRule type="containsErrors" dxfId="70" priority="38" stopIfTrue="1">
      <formula>ISERROR(T8)</formula>
    </cfRule>
  </conditionalFormatting>
  <conditionalFormatting sqref="W8">
    <cfRule type="containsErrors" dxfId="69" priority="37" stopIfTrue="1">
      <formula>ISERROR(W8)</formula>
    </cfRule>
  </conditionalFormatting>
  <conditionalFormatting sqref="E9:E10">
    <cfRule type="containsErrors" dxfId="68" priority="36" stopIfTrue="1">
      <formula>ISERROR(E9)</formula>
    </cfRule>
  </conditionalFormatting>
  <conditionalFormatting sqref="W13">
    <cfRule type="containsErrors" dxfId="67" priority="34" stopIfTrue="1">
      <formula>ISERROR(W13)</formula>
    </cfRule>
  </conditionalFormatting>
  <conditionalFormatting sqref="B4:D4">
    <cfRule type="containsErrors" dxfId="66" priority="14" stopIfTrue="1">
      <formula>ISERROR(B4)</formula>
    </cfRule>
  </conditionalFormatting>
  <conditionalFormatting sqref="E4">
    <cfRule type="containsErrors" dxfId="65" priority="13" stopIfTrue="1">
      <formula>ISERROR(E4)</formula>
    </cfRule>
  </conditionalFormatting>
  <conditionalFormatting sqref="Q22">
    <cfRule type="containsErrors" dxfId="64" priority="4" stopIfTrue="1">
      <formula>ISERROR(Q22)</formula>
    </cfRule>
  </conditionalFormatting>
  <conditionalFormatting sqref="Q24">
    <cfRule type="containsErrors" dxfId="63" priority="3" stopIfTrue="1">
      <formula>ISERROR(Q24)</formula>
    </cfRule>
  </conditionalFormatting>
  <dataValidations xWindow="1159" yWindow="376" count="7">
    <dataValidation type="list" allowBlank="1" showInputMessage="1" showErrorMessage="1" sqref="E5:F5">
      <formula1>"English,Metric"</formula1>
    </dataValidation>
    <dataValidation type="list" allowBlank="1" showInputMessage="1" showErrorMessage="1" sqref="E8:F8">
      <formula1>"FWD,RWD,AWD"</formula1>
    </dataValidation>
    <dataValidation type="list" allowBlank="1" showInputMessage="1" showErrorMessage="1" sqref="E7:F7">
      <formula1>"Front,Mid,Rear"</formula1>
    </dataValidation>
    <dataValidation type="list" allowBlank="1" showInputMessage="1" showErrorMessage="1" sqref="H24:H25 H27:H28">
      <formula1>"-1/2,-7/16,-3/8,-5/16,-1/4,-3/16,-1/8,-1/16,0,+1/16,+1/8,+3/16,+1/4,+5/16,+3/8,+7/16,+1/2"</formula1>
    </dataValidation>
    <dataValidation type="list" allowBlank="1" showInputMessage="1" showErrorMessage="1" sqref="E37">
      <formula1>"0%,-5%,-10%,-15%,-20%,-25%,-30%,-35%,-40%,-45%,-50%,-55%,-60%,-65%,-70%,-75%"</formula1>
    </dataValidation>
    <dataValidation type="list" allowBlank="1" showInputMessage="1" showErrorMessage="1" sqref="H1">
      <formula1>ModelList</formula1>
    </dataValidation>
    <dataValidation type="list" allowBlank="1" showInputMessage="1" showErrorMessage="1" sqref="E36">
      <formula1>"4,5,6"</formula1>
    </dataValidation>
  </dataValidations>
  <printOptions horizontalCentered="1" verticalCentered="1"/>
  <pageMargins left="0.7" right="0.7" top="0.75" bottom="0.75" header="0.3" footer="0.3"/>
  <pageSetup scale="81" orientation="landscape" horizontalDpi="4294967292" verticalDpi="4294967292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>
    <pageSetUpPr fitToPage="1"/>
  </sheetPr>
  <dimension ref="A1:AC65"/>
  <sheetViews>
    <sheetView showGridLines="0" workbookViewId="0">
      <selection activeCell="U41" sqref="U41"/>
    </sheetView>
  </sheetViews>
  <sheetFormatPr defaultColWidth="6.5703125" defaultRowHeight="11.25" customHeight="1"/>
  <cols>
    <col min="1" max="2" width="6.5703125" style="49"/>
    <col min="3" max="3" width="6.5703125" style="25" customWidth="1"/>
    <col min="4" max="13" width="6.5703125" style="3"/>
    <col min="14" max="17" width="6.5703125" style="3" customWidth="1"/>
    <col min="18" max="19" width="6.5703125" style="3"/>
    <col min="20" max="20" width="6.5703125" style="3" customWidth="1"/>
    <col min="21" max="21" width="6.5703125" style="3"/>
    <col min="22" max="23" width="6.5703125" style="314"/>
    <col min="24" max="24" width="11" style="3" customWidth="1"/>
    <col min="25" max="25" width="6.5703125" style="3" customWidth="1"/>
    <col min="26" max="26" width="6.5703125" style="314"/>
    <col min="27" max="27" width="6.5703125" style="3"/>
    <col min="28" max="28" width="6.5703125" style="314"/>
    <col min="29" max="16384" width="6.5703125" style="3"/>
  </cols>
  <sheetData>
    <row r="1" spans="1:28" ht="11.25" customHeight="1" thickBot="1">
      <c r="A1" s="696" t="s">
        <v>78</v>
      </c>
      <c r="B1" s="697"/>
      <c r="C1" s="697"/>
      <c r="D1" s="697"/>
      <c r="E1" s="697"/>
      <c r="F1" s="697"/>
      <c r="G1" s="697"/>
      <c r="H1" s="697"/>
      <c r="I1" s="697"/>
      <c r="J1" s="697"/>
      <c r="K1" s="697"/>
      <c r="L1" s="698"/>
      <c r="N1" s="693" t="s">
        <v>1177</v>
      </c>
      <c r="O1" s="694"/>
      <c r="P1" s="694"/>
      <c r="Q1" s="694"/>
      <c r="R1" s="694"/>
      <c r="S1" s="695"/>
    </row>
    <row r="2" spans="1:28" ht="11.25" customHeight="1" thickTop="1">
      <c r="A2" s="658" t="s">
        <v>27</v>
      </c>
      <c r="B2" s="659"/>
      <c r="C2" s="686" t="s">
        <v>41</v>
      </c>
      <c r="D2" s="686"/>
      <c r="E2" s="686" t="s">
        <v>42</v>
      </c>
      <c r="F2" s="686"/>
      <c r="G2" s="686" t="s">
        <v>43</v>
      </c>
      <c r="H2" s="686"/>
      <c r="I2" s="686" t="s">
        <v>44</v>
      </c>
      <c r="J2" s="686"/>
      <c r="K2" s="686" t="s">
        <v>14</v>
      </c>
      <c r="L2" s="699"/>
      <c r="N2" s="689" t="s">
        <v>75</v>
      </c>
      <c r="O2" s="690"/>
      <c r="P2" s="690"/>
      <c r="Q2" s="691" t="s">
        <v>72</v>
      </c>
      <c r="R2" s="691"/>
      <c r="S2" s="692"/>
    </row>
    <row r="3" spans="1:28" ht="11.25" customHeight="1">
      <c r="A3" s="667" t="s">
        <v>655</v>
      </c>
      <c r="B3" s="668"/>
      <c r="C3" s="687" t="e">
        <f>'Tire Dynamics'!F24/'Tire Dynamics'!F17</f>
        <v>#DIV/0!</v>
      </c>
      <c r="D3" s="687"/>
      <c r="E3" s="681">
        <v>0</v>
      </c>
      <c r="F3" s="681"/>
      <c r="G3" s="677" t="s">
        <v>45</v>
      </c>
      <c r="H3" s="677"/>
      <c r="I3" s="677" t="s">
        <v>45</v>
      </c>
      <c r="J3" s="677"/>
      <c r="K3" s="688" t="s">
        <v>45</v>
      </c>
      <c r="L3" s="688"/>
      <c r="N3" s="689" t="s">
        <v>73</v>
      </c>
      <c r="O3" s="690"/>
      <c r="P3" s="690"/>
      <c r="Q3" s="691" t="s">
        <v>72</v>
      </c>
      <c r="R3" s="691"/>
      <c r="S3" s="692"/>
    </row>
    <row r="4" spans="1:28" ht="11.25" customHeight="1">
      <c r="A4" s="667" t="s">
        <v>656</v>
      </c>
      <c r="B4" s="668"/>
      <c r="C4" s="677" t="s">
        <v>45</v>
      </c>
      <c r="D4" s="677"/>
      <c r="E4" s="677" t="s">
        <v>45</v>
      </c>
      <c r="F4" s="677"/>
      <c r="G4" s="681" t="e">
        <f>'Tire Dynamics'!L31/'Tire Dynamics'!L24</f>
        <v>#N/A</v>
      </c>
      <c r="H4" s="681"/>
      <c r="I4" s="681" t="e">
        <f>'Tire Dynamics'!L24/'Tire Dynamics'!L17</f>
        <v>#DIV/0!</v>
      </c>
      <c r="J4" s="681"/>
      <c r="K4" s="685" t="s">
        <v>45</v>
      </c>
      <c r="L4" s="685"/>
      <c r="N4" s="689" t="s">
        <v>556</v>
      </c>
      <c r="O4" s="690"/>
      <c r="P4" s="690"/>
      <c r="Q4" s="691" t="s">
        <v>72</v>
      </c>
      <c r="R4" s="691"/>
      <c r="S4" s="692"/>
    </row>
    <row r="5" spans="1:28" ht="11.25" customHeight="1">
      <c r="A5" s="667" t="s">
        <v>657</v>
      </c>
      <c r="B5" s="668"/>
      <c r="C5" s="681" t="e">
        <f>'Tire Dynamics'!F24/'Tire Dynamics'!F17</f>
        <v>#DIV/0!</v>
      </c>
      <c r="D5" s="681"/>
      <c r="E5" s="681">
        <v>0</v>
      </c>
      <c r="F5" s="681"/>
      <c r="G5" s="681" t="e">
        <f>'Tire Dynamics'!L31/'Tire Dynamics'!L24</f>
        <v>#N/A</v>
      </c>
      <c r="H5" s="681"/>
      <c r="I5" s="681" t="e">
        <f>'Tire Dynamics'!L24/'Tire Dynamics'!L17</f>
        <v>#DIV/0!</v>
      </c>
      <c r="J5" s="681"/>
      <c r="K5" s="685" t="e">
        <f>1-(('Tire Dynamics'!Q8/'Calculation Data &amp; Factors'!A12*'Calculation Data &amp; Factors'!A31)*('Tire Dynamics'!D24*'Calculation Data &amp; Factors'!C12)/Transmission!AH5)/(Transmission!C12*IF('FMTC Main'!$E$5="Metric",1,1.35581795))</f>
        <v>#DIV/0!</v>
      </c>
      <c r="L5" s="685"/>
      <c r="N5" s="689" t="s">
        <v>71</v>
      </c>
      <c r="O5" s="690"/>
      <c r="P5" s="690"/>
      <c r="Q5" s="691" t="s">
        <v>72</v>
      </c>
      <c r="R5" s="691"/>
      <c r="S5" s="692"/>
    </row>
    <row r="6" spans="1:28" ht="11.25" customHeight="1">
      <c r="A6" s="20"/>
      <c r="B6" s="14"/>
      <c r="C6" s="15"/>
      <c r="D6" s="10"/>
      <c r="E6" s="10"/>
      <c r="F6" s="10"/>
      <c r="G6" s="10"/>
      <c r="H6" s="10"/>
      <c r="I6" s="10"/>
      <c r="J6" s="10"/>
      <c r="K6" s="10"/>
      <c r="L6" s="21"/>
      <c r="N6" s="689" t="s">
        <v>635</v>
      </c>
      <c r="O6" s="690"/>
      <c r="P6" s="690"/>
      <c r="Q6" s="691" t="s">
        <v>72</v>
      </c>
      <c r="R6" s="691"/>
      <c r="S6" s="692"/>
    </row>
    <row r="7" spans="1:28" ht="11.25" customHeight="1">
      <c r="A7" s="658" t="s">
        <v>629</v>
      </c>
      <c r="B7" s="669"/>
      <c r="C7" s="670"/>
      <c r="D7" s="10"/>
      <c r="E7" s="340"/>
      <c r="F7" s="10"/>
      <c r="G7" s="10"/>
      <c r="H7" s="10"/>
      <c r="I7" s="10"/>
      <c r="J7" s="10"/>
      <c r="K7" s="10"/>
      <c r="L7" s="21"/>
      <c r="N7" s="689" t="s">
        <v>76</v>
      </c>
      <c r="O7" s="690"/>
      <c r="P7" s="690"/>
      <c r="Q7" s="691" t="s">
        <v>72</v>
      </c>
      <c r="R7" s="691"/>
      <c r="S7" s="692"/>
    </row>
    <row r="8" spans="1:28" ht="11.25" customHeight="1">
      <c r="A8" s="682" t="str">
        <f>IF('FMTC Main'!F6&lt;201,"F",IF(AND('FMTC Main'!F6&gt;200,'FMTC Main'!F6&lt;276),"E",IF(AND('FMTC Main'!F6&gt;275,'FMTC Main'!F6&lt;351),"D",IF(AND('FMTC Main'!F6&gt;350,'FMTC Main'!F6&lt;426),"C",IF(AND('FMTC Main'!F6&gt;425,'FMTC Main'!F6&lt;501),"B",IF(AND('FMTC Main'!F6&gt;500,'FMTC Main'!F6&lt;601),"A",IF(AND('FMTC Main'!F6&gt;600,'FMTC Main'!F6&lt;701),"S",A9)))))))</f>
        <v>F</v>
      </c>
      <c r="B8" s="683"/>
      <c r="C8" s="684"/>
      <c r="D8" s="10"/>
      <c r="E8" s="340"/>
      <c r="F8" s="10"/>
      <c r="G8" s="10"/>
      <c r="H8" s="10"/>
      <c r="I8" s="10"/>
      <c r="J8" s="10"/>
      <c r="K8" s="10"/>
      <c r="L8" s="21"/>
      <c r="N8" s="689" t="s">
        <v>619</v>
      </c>
      <c r="O8" s="690"/>
      <c r="P8" s="690"/>
      <c r="Q8" s="334" t="s">
        <v>72</v>
      </c>
      <c r="R8" s="340"/>
      <c r="S8" s="341"/>
    </row>
    <row r="9" spans="1:28" ht="11.25" customHeight="1">
      <c r="A9" s="682" t="b">
        <f>IF(AND('FMTC Main'!F6&gt;700,'FMTC Main'!F6&lt;801),"R3",IF(AND('FMTC Main'!F6&gt;800,'FMTC Main'!F6&lt;876),"R2",IF(AND('FMTC Main'!F6&gt;875,'FMTC Main'!F6&lt;999),"R1",IF('FMTC Main'!F6=999,"X"))))</f>
        <v>0</v>
      </c>
      <c r="B9" s="683"/>
      <c r="C9" s="684"/>
      <c r="D9" s="10"/>
      <c r="E9" s="340"/>
      <c r="F9" s="10"/>
      <c r="G9" s="10"/>
      <c r="H9" s="10"/>
      <c r="I9" s="10"/>
      <c r="J9" s="10"/>
      <c r="K9" s="10"/>
      <c r="L9" s="21"/>
      <c r="N9" s="336"/>
      <c r="O9" s="337"/>
      <c r="P9" s="337"/>
      <c r="Q9" s="691" t="s">
        <v>620</v>
      </c>
      <c r="R9" s="691"/>
      <c r="S9" s="692"/>
    </row>
    <row r="10" spans="1:28" ht="11.25" customHeight="1">
      <c r="A10" s="658" t="s">
        <v>61</v>
      </c>
      <c r="B10" s="669"/>
      <c r="C10" s="670"/>
      <c r="D10" s="10"/>
      <c r="E10" s="340"/>
      <c r="F10" s="340"/>
      <c r="G10" s="340"/>
      <c r="H10" s="340"/>
      <c r="I10" s="340"/>
      <c r="J10" s="340"/>
      <c r="K10" s="10"/>
      <c r="L10" s="21"/>
      <c r="N10" s="689" t="s">
        <v>994</v>
      </c>
      <c r="O10" s="690"/>
      <c r="P10" s="690"/>
      <c r="Q10" s="334" t="s">
        <v>72</v>
      </c>
      <c r="R10" s="334"/>
      <c r="S10" s="335"/>
    </row>
    <row r="11" spans="1:28" ht="11.25" customHeight="1">
      <c r="A11" s="343">
        <f>IF('FMTC Main'!E5="Metric",2.20462262,1)</f>
        <v>1</v>
      </c>
      <c r="B11" s="344">
        <f>IF('FMTC Main'!E5="Metric",1.609344,1)</f>
        <v>1</v>
      </c>
      <c r="C11" s="345">
        <f>IF('FMTC Main'!E5="Metric",0.0254,1)</f>
        <v>1</v>
      </c>
      <c r="D11" s="10"/>
      <c r="E11" s="340"/>
      <c r="F11" s="340"/>
      <c r="G11" s="340"/>
      <c r="H11" s="340"/>
      <c r="I11" s="340"/>
      <c r="J11" s="340"/>
      <c r="K11" s="10"/>
      <c r="L11" s="21"/>
      <c r="N11" s="689" t="s">
        <v>559</v>
      </c>
      <c r="O11" s="690"/>
      <c r="P11" s="690"/>
      <c r="Q11" s="691" t="s">
        <v>72</v>
      </c>
      <c r="R11" s="691"/>
      <c r="S11" s="692"/>
    </row>
    <row r="12" spans="1:28" ht="11.25" customHeight="1">
      <c r="A12" s="343">
        <f>IF('FMTC Main'!E5="Metric",1,2.20462262)</f>
        <v>2.2046226199999999</v>
      </c>
      <c r="B12" s="344">
        <f>IF('FMTC Main'!E5="Metric",1,1.609344)</f>
        <v>1.6093440000000001</v>
      </c>
      <c r="C12" s="345">
        <f>IF('FMTC Main'!E5="Metric",1,0.0254)</f>
        <v>2.5399999999999999E-2</v>
      </c>
      <c r="D12" s="10"/>
      <c r="E12" s="340"/>
      <c r="F12" s="340"/>
      <c r="G12" s="340"/>
      <c r="H12" s="340"/>
      <c r="I12" s="340"/>
      <c r="J12" s="340"/>
      <c r="K12" s="10"/>
      <c r="L12" s="21"/>
      <c r="N12" s="689" t="s">
        <v>1009</v>
      </c>
      <c r="O12" s="690"/>
      <c r="P12" s="690"/>
      <c r="Q12" s="312" t="s">
        <v>1010</v>
      </c>
      <c r="R12" s="312"/>
      <c r="S12" s="313"/>
      <c r="U12" s="314"/>
      <c r="W12" s="3"/>
      <c r="Y12" s="314"/>
      <c r="Z12" s="3"/>
      <c r="AA12" s="314"/>
      <c r="AB12" s="3"/>
    </row>
    <row r="13" spans="1:28" ht="11.25" customHeight="1">
      <c r="A13" s="140">
        <f>(IF(Transmission!AH20="FWD",B13,IF(Transmission!AH20="RWD",C13,IF(Transmission!AH20="AWD",1))))</f>
        <v>1</v>
      </c>
      <c r="B13" s="141">
        <f>'FMTC Main'!E12/100</f>
        <v>0</v>
      </c>
      <c r="C13" s="142">
        <f>1-B13</f>
        <v>1</v>
      </c>
      <c r="D13" s="10"/>
      <c r="E13" s="340"/>
      <c r="F13" s="340"/>
      <c r="G13" s="340"/>
      <c r="H13" s="340"/>
      <c r="I13" s="340"/>
      <c r="J13" s="340"/>
      <c r="K13" s="10"/>
      <c r="L13" s="21"/>
      <c r="N13" s="336"/>
      <c r="O13" s="337"/>
      <c r="P13" s="337"/>
      <c r="Q13" s="334" t="s">
        <v>650</v>
      </c>
      <c r="R13" s="334"/>
      <c r="S13" s="335"/>
      <c r="U13" s="314"/>
      <c r="W13" s="3"/>
      <c r="Y13" s="314"/>
      <c r="Z13" s="3"/>
      <c r="AA13" s="314"/>
      <c r="AB13" s="3"/>
    </row>
    <row r="14" spans="1:28" ht="11.25" customHeight="1">
      <c r="A14" s="658" t="s">
        <v>46</v>
      </c>
      <c r="B14" s="669"/>
      <c r="C14" s="670"/>
      <c r="D14" s="10"/>
      <c r="E14" s="10"/>
      <c r="F14" s="10"/>
      <c r="G14" s="10"/>
      <c r="H14" s="10"/>
      <c r="I14" s="10"/>
      <c r="J14" s="10"/>
      <c r="K14" s="10"/>
      <c r="L14" s="21"/>
      <c r="N14" s="336"/>
      <c r="O14" s="337"/>
      <c r="P14" s="337"/>
      <c r="Q14" s="334" t="s">
        <v>1025</v>
      </c>
      <c r="R14" s="334"/>
      <c r="S14" s="335"/>
      <c r="U14" s="314"/>
      <c r="W14" s="3"/>
      <c r="AB14" s="3"/>
    </row>
    <row r="15" spans="1:28" ht="11.25" customHeight="1">
      <c r="A15" s="671">
        <f>IF('FMTC Main'!E5="Metric",100,6.895)</f>
        <v>6.8949999999999996</v>
      </c>
      <c r="B15" s="672"/>
      <c r="C15" s="673"/>
      <c r="D15" s="10"/>
      <c r="E15" s="10"/>
      <c r="F15" s="10"/>
      <c r="G15" s="10"/>
      <c r="H15" s="10"/>
      <c r="I15" s="10"/>
      <c r="J15" s="10"/>
      <c r="K15" s="10"/>
      <c r="L15" s="21"/>
      <c r="N15" s="336"/>
      <c r="O15" s="337"/>
      <c r="P15" s="337"/>
      <c r="Q15" s="334" t="s">
        <v>1080</v>
      </c>
      <c r="R15" s="334"/>
      <c r="S15" s="335"/>
      <c r="U15" s="314"/>
      <c r="W15" s="3"/>
      <c r="Y15" s="314"/>
      <c r="Z15" s="3"/>
      <c r="AA15" s="314"/>
      <c r="AB15" s="3"/>
    </row>
    <row r="16" spans="1:28" ht="11.25" customHeight="1">
      <c r="A16" s="678" t="s">
        <v>48</v>
      </c>
      <c r="B16" s="679"/>
      <c r="C16" s="680"/>
      <c r="D16" s="10"/>
      <c r="E16" s="10"/>
      <c r="F16" s="10"/>
      <c r="G16" s="10"/>
      <c r="H16" s="10"/>
      <c r="I16" s="10"/>
      <c r="J16" s="10"/>
      <c r="K16" s="10"/>
      <c r="L16" s="21"/>
      <c r="N16" s="336"/>
      <c r="O16" s="337"/>
      <c r="P16" s="337"/>
      <c r="Q16" s="334" t="s">
        <v>1015</v>
      </c>
      <c r="R16" s="334"/>
      <c r="S16" s="335"/>
      <c r="U16" s="314"/>
      <c r="W16" s="3"/>
      <c r="Y16" s="314"/>
      <c r="Z16" s="3"/>
      <c r="AA16" s="314"/>
      <c r="AB16" s="3"/>
    </row>
    <row r="17" spans="1:29" ht="11.25" customHeight="1">
      <c r="A17" s="212" t="e">
        <f>((PI()/180)*((('Calculation Data &amp; Factors'!B17+'Calculation Data &amp; Factors'!C17)*(AVERAGE('Tire Dynamics'!F24,'Tire Dynamics'!L24)/IF('FMTC Main'!E5="Metric",0.101971621,0.00571014715))*((AVERAGE('Tire Dynamics'!Q45,'Tire Dynamics'!R45)*IF('FMTC Main'!E5="Metric",0.001,C12))^2/2))/((AVERAGE('Tire Dynamics'!F24,'Tire Dynamics'!L24)/IF('FMTC Main'!E5="Metric",0.101971621,0.00571014715))*((AVERAGE('Tire Dynamics'!Q45,'Tire Dynamics'!R45)*IF('FMTC Main'!E5="Metric",0.001,C12))^2/2)*PI()/180-('Calculation Data &amp; Factors'!B17+'Calculation Data &amp; Factors'!C17)))-((PI()*(AVERAGE('Tire Dynamics'!Q21,'Tire Dynamics'!R21)/IF('FMTC Main'!E5="Metric",0.101971621,0.00571014715))*((AVERAGE('Tire Dynamics'!Q45,'Tire Dynamics'!R45)*IF('FMTC Main'!E5="Metric",0.001,C12))^2/2))/180))*'Tire Dynamics'!Q18^2/100</f>
        <v>#N/A</v>
      </c>
      <c r="B17" s="338" t="e">
        <f>(PI()*(('Tire Dynamics'!Q45*IF('FMTC Main'!E5="Metric",0.001,'Calculation Data &amp; Factors'!C12))^2)*('Tire Dynamics'!Q21/IF('FMTC Main'!E5="Metric",0.101971621,0.00571014715))*('Tire Dynamics'!Q21/IF('FMTC Main'!E5="Metric",0.101971621,0.00571014715)))/(180*(('Tire Dynamics'!Q21/IF('FMTC Main'!E5="Metric",0.101971621,0.00571014715))+('Tire Dynamics'!Q21/IF('FMTC Main'!E5="Metric",0.101971621,0.00571014715))))</f>
        <v>#N/A</v>
      </c>
      <c r="C17" s="339" t="e">
        <f>(PI()*(('Tire Dynamics'!R45*IF('FMTC Main'!E5="Metric",0.001,'Calculation Data &amp; Factors'!C12))^2)*('Tire Dynamics'!R21/IF('FMTC Main'!E5="Metric",0.101971621,0.00571014715))*('Tire Dynamics'!R21/IF('FMTC Main'!E5="Metric",0.101971621,0.00571014715)))/(180*(('Tire Dynamics'!R21/IF('FMTC Main'!E5="Metric",0.101971621,0.00571014715))+('Tire Dynamics'!R21/IF('FMTC Main'!E5="Metric",0.101971621,0.00571014715))))</f>
        <v>#N/A</v>
      </c>
      <c r="D17" s="10"/>
      <c r="E17" s="10"/>
      <c r="F17" s="10"/>
      <c r="G17" s="10"/>
      <c r="H17" s="10"/>
      <c r="I17" s="10"/>
      <c r="J17" s="10"/>
      <c r="K17" s="10"/>
      <c r="L17" s="21"/>
      <c r="N17" s="336"/>
      <c r="O17" s="337"/>
      <c r="P17" s="337"/>
      <c r="Q17" s="334" t="s">
        <v>1012</v>
      </c>
      <c r="R17" s="334"/>
      <c r="S17" s="335"/>
      <c r="T17" s="49"/>
      <c r="U17" s="314"/>
      <c r="Y17" s="314"/>
      <c r="Z17" s="49"/>
      <c r="AA17" s="314"/>
      <c r="AB17" s="49"/>
    </row>
    <row r="18" spans="1:29" ht="11.25" customHeight="1">
      <c r="A18" s="655" t="e">
        <f>'Tire Dynamics'!Q9/('Tire Dynamics'!Q10*('Tire Dynamics'!Q6/'Calculation Data &amp; Factors'!A12))/0.001</f>
        <v>#N/A</v>
      </c>
      <c r="B18" s="656"/>
      <c r="C18" s="657"/>
      <c r="D18" s="10"/>
      <c r="E18" s="10"/>
      <c r="F18" s="10"/>
      <c r="G18" s="10"/>
      <c r="H18" s="10"/>
      <c r="I18" s="10"/>
      <c r="J18" s="10"/>
      <c r="K18" s="10"/>
      <c r="L18" s="21"/>
      <c r="N18" s="336"/>
      <c r="O18" s="337"/>
      <c r="P18" s="337"/>
      <c r="Q18" s="334" t="s">
        <v>1014</v>
      </c>
      <c r="R18" s="334"/>
      <c r="S18" s="335"/>
      <c r="T18" s="49"/>
      <c r="U18" s="314"/>
      <c r="W18" s="49"/>
      <c r="Y18" s="314"/>
      <c r="Z18" s="49"/>
      <c r="AA18" s="314"/>
      <c r="AB18" s="49"/>
    </row>
    <row r="19" spans="1:29" ht="11.25" customHeight="1">
      <c r="A19" s="658" t="s">
        <v>47</v>
      </c>
      <c r="B19" s="669"/>
      <c r="C19" s="670"/>
      <c r="D19" s="10"/>
      <c r="E19" s="10"/>
      <c r="F19" s="10"/>
      <c r="G19" s="10"/>
      <c r="H19" s="10"/>
      <c r="I19" s="10"/>
      <c r="J19" s="10"/>
      <c r="K19" s="10"/>
      <c r="L19" s="21"/>
      <c r="N19" s="336"/>
      <c r="O19" s="337"/>
      <c r="P19" s="337"/>
      <c r="Q19" s="334" t="s">
        <v>1079</v>
      </c>
      <c r="R19" s="334"/>
      <c r="S19" s="335"/>
      <c r="T19" s="49"/>
      <c r="U19" s="314"/>
      <c r="W19" s="49"/>
      <c r="Y19" s="314"/>
      <c r="Z19" s="49"/>
      <c r="AA19" s="314"/>
      <c r="AB19" s="49"/>
    </row>
    <row r="20" spans="1:29" ht="11.25" customHeight="1">
      <c r="A20" s="661">
        <f>1.5*0.0254</f>
        <v>3.8099999999999995E-2</v>
      </c>
      <c r="B20" s="662"/>
      <c r="C20" s="663"/>
      <c r="D20" s="10"/>
      <c r="E20" s="10"/>
      <c r="F20" s="10"/>
      <c r="G20" s="10"/>
      <c r="H20" s="10"/>
      <c r="I20" s="10"/>
      <c r="J20" s="10"/>
      <c r="K20" s="10"/>
      <c r="L20" s="21"/>
      <c r="N20" s="336"/>
      <c r="O20" s="337"/>
      <c r="P20" s="337"/>
      <c r="Q20" s="334" t="s">
        <v>1016</v>
      </c>
      <c r="R20" s="334"/>
      <c r="S20" s="335"/>
      <c r="T20" s="49"/>
      <c r="U20" s="314"/>
      <c r="W20" s="49"/>
      <c r="Y20" s="314"/>
      <c r="Z20" s="49"/>
      <c r="AA20" s="314"/>
      <c r="AB20" s="49"/>
    </row>
    <row r="21" spans="1:29" ht="11.25" customHeight="1">
      <c r="A21" s="674">
        <f>IF('FMTC Main'!E5="Metric",0.00101971621,0.00571014715)</f>
        <v>5.7101471499999999E-3</v>
      </c>
      <c r="B21" s="675"/>
      <c r="C21" s="676"/>
      <c r="D21" s="10"/>
      <c r="E21" s="10"/>
      <c r="F21" s="10"/>
      <c r="G21" s="10"/>
      <c r="H21" s="10"/>
      <c r="I21" s="10"/>
      <c r="J21" s="10"/>
      <c r="K21" s="10"/>
      <c r="L21" s="21"/>
      <c r="N21" s="336"/>
      <c r="O21" s="337"/>
      <c r="P21" s="337"/>
      <c r="Q21" s="334" t="s">
        <v>72</v>
      </c>
      <c r="R21" s="334"/>
      <c r="S21" s="335"/>
      <c r="T21" s="157"/>
      <c r="U21" s="314"/>
      <c r="W21" s="49"/>
      <c r="Y21" s="314"/>
      <c r="Z21" s="49"/>
      <c r="AA21" s="314"/>
      <c r="AB21" s="49"/>
    </row>
    <row r="22" spans="1:29" ht="11.25" customHeight="1">
      <c r="A22" s="658" t="s">
        <v>49</v>
      </c>
      <c r="B22" s="669"/>
      <c r="C22" s="670"/>
      <c r="D22" s="10"/>
      <c r="E22" s="10"/>
      <c r="F22" s="10"/>
      <c r="G22" s="10"/>
      <c r="H22" s="10"/>
      <c r="I22" s="10"/>
      <c r="J22" s="10"/>
      <c r="K22" s="10"/>
      <c r="L22" s="21"/>
      <c r="N22" s="336"/>
      <c r="O22" s="337"/>
      <c r="P22" s="337"/>
      <c r="Q22" s="334" t="s">
        <v>1078</v>
      </c>
      <c r="R22" s="334"/>
      <c r="S22" s="335"/>
      <c r="T22" s="157"/>
      <c r="U22" s="314"/>
      <c r="W22" s="83"/>
      <c r="Y22" s="314"/>
      <c r="Z22" s="49"/>
      <c r="AA22" s="314"/>
      <c r="AB22" s="49"/>
    </row>
    <row r="23" spans="1:29" ht="11.25" customHeight="1">
      <c r="A23" s="671" t="e">
        <f>(4*PI()^2*'FMTC Main'!W5^2*('Tire Dynamics'!Q6/2/'Calculation Data &amp; Factors'!A12)*'Tire Dynamics'!Q18^2)*'Calculation Data &amp; Factors'!A21</f>
        <v>#N/A</v>
      </c>
      <c r="B23" s="672"/>
      <c r="C23" s="673"/>
      <c r="D23" s="10"/>
      <c r="E23" s="10"/>
      <c r="F23" s="10"/>
      <c r="G23" s="10"/>
      <c r="H23" s="10"/>
      <c r="I23" s="10"/>
      <c r="J23" s="10"/>
      <c r="K23" s="10"/>
      <c r="L23" s="21"/>
      <c r="N23" s="336"/>
      <c r="O23" s="337"/>
      <c r="P23" s="337"/>
      <c r="Q23" s="334" t="s">
        <v>1013</v>
      </c>
      <c r="R23" s="334"/>
      <c r="S23" s="335"/>
      <c r="T23" s="157"/>
      <c r="U23" s="314"/>
      <c r="W23" s="49"/>
      <c r="Y23" s="314"/>
      <c r="Z23" s="49"/>
      <c r="AA23" s="314"/>
      <c r="AB23" s="49"/>
    </row>
    <row r="24" spans="1:29" ht="11.25" customHeight="1">
      <c r="A24" s="658" t="s">
        <v>667</v>
      </c>
      <c r="B24" s="669"/>
      <c r="C24" s="670"/>
      <c r="D24" s="10"/>
      <c r="E24" s="10"/>
      <c r="F24" s="10"/>
      <c r="G24" s="10"/>
      <c r="H24" s="10"/>
      <c r="I24" s="10"/>
      <c r="J24" s="10"/>
      <c r="K24" s="10"/>
      <c r="L24" s="21"/>
      <c r="N24" s="336"/>
      <c r="O24" s="337"/>
      <c r="P24" s="337"/>
      <c r="Q24" s="334" t="s">
        <v>1011</v>
      </c>
      <c r="R24" s="334"/>
      <c r="S24" s="335"/>
      <c r="T24" s="157"/>
      <c r="U24" s="314"/>
      <c r="W24" s="49"/>
      <c r="Y24" s="314"/>
      <c r="Z24" s="49"/>
      <c r="AA24" s="314"/>
      <c r="AB24" s="49"/>
    </row>
    <row r="25" spans="1:29" ht="11.25" customHeight="1">
      <c r="A25" s="671" t="e">
        <f>(4*PI()*'Tire Dynamics'!Q19*'FMTC Main'!W5*('Tire Dynamics'!Q6/2/'Calculation Data &amp; Factors'!A12))*0.001</f>
        <v>#N/A</v>
      </c>
      <c r="B25" s="672"/>
      <c r="C25" s="673"/>
      <c r="D25" s="10"/>
      <c r="E25" s="10"/>
      <c r="F25" s="10"/>
      <c r="G25" s="10"/>
      <c r="H25" s="10"/>
      <c r="I25" s="10"/>
      <c r="J25" s="10"/>
      <c r="K25" s="10"/>
      <c r="L25" s="21"/>
      <c r="N25" s="336"/>
      <c r="O25" s="337"/>
      <c r="P25" s="337"/>
      <c r="Q25" s="334" t="s">
        <v>1017</v>
      </c>
      <c r="R25" s="334"/>
      <c r="S25" s="335"/>
      <c r="T25" s="49"/>
      <c r="U25" s="314"/>
      <c r="W25" s="49"/>
      <c r="Y25" s="314"/>
      <c r="Z25" s="49"/>
      <c r="AA25" s="314"/>
      <c r="AB25" s="49"/>
    </row>
    <row r="26" spans="1:29" ht="11.25" customHeight="1">
      <c r="A26" s="658" t="s">
        <v>51</v>
      </c>
      <c r="B26" s="659"/>
      <c r="C26" s="660"/>
      <c r="D26" s="10"/>
      <c r="E26" s="10"/>
      <c r="F26" s="10"/>
      <c r="G26" s="10"/>
      <c r="H26" s="10"/>
      <c r="I26" s="10"/>
      <c r="J26" s="10"/>
      <c r="K26" s="10"/>
      <c r="L26" s="21"/>
      <c r="N26" s="336"/>
      <c r="O26" s="337"/>
      <c r="P26" s="337"/>
      <c r="Q26" s="334" t="s">
        <v>620</v>
      </c>
      <c r="R26" s="334"/>
      <c r="S26" s="335"/>
      <c r="T26" s="49"/>
      <c r="U26" s="314"/>
      <c r="W26" s="3"/>
      <c r="Y26" s="314"/>
      <c r="Z26" s="49"/>
      <c r="AA26" s="314"/>
      <c r="AB26" s="49"/>
    </row>
    <row r="27" spans="1:29" ht="11.25" customHeight="1">
      <c r="A27" s="671" t="e">
        <f>IF('Tire Dynamics'!Q20="Low",(2/3),(1/3))*'Calculation Data &amp; Factors'!A25</f>
        <v>#N/A</v>
      </c>
      <c r="B27" s="672"/>
      <c r="C27" s="673"/>
      <c r="D27" s="10"/>
      <c r="E27" s="10"/>
      <c r="F27" s="10"/>
      <c r="G27" s="10"/>
      <c r="H27" s="10"/>
      <c r="I27" s="10"/>
      <c r="J27" s="10"/>
      <c r="K27" s="10"/>
      <c r="L27" s="21"/>
      <c r="N27" s="689" t="s">
        <v>74</v>
      </c>
      <c r="O27" s="690"/>
      <c r="P27" s="690"/>
      <c r="Q27" s="691" t="s">
        <v>650</v>
      </c>
      <c r="R27" s="691"/>
      <c r="S27" s="692"/>
      <c r="T27" s="49"/>
      <c r="U27" s="157"/>
      <c r="AA27" s="49"/>
      <c r="AC27" s="49"/>
    </row>
    <row r="28" spans="1:29" ht="11.25" customHeight="1">
      <c r="A28" s="658" t="s">
        <v>50</v>
      </c>
      <c r="B28" s="669"/>
      <c r="C28" s="670"/>
      <c r="D28" s="10"/>
      <c r="E28" s="10"/>
      <c r="F28" s="10"/>
      <c r="G28" s="10"/>
      <c r="H28" s="10"/>
      <c r="I28" s="10"/>
      <c r="J28" s="10"/>
      <c r="K28" s="10"/>
      <c r="L28" s="21"/>
      <c r="N28" s="336"/>
      <c r="O28" s="337"/>
      <c r="P28" s="337"/>
      <c r="Q28" s="691" t="s">
        <v>668</v>
      </c>
      <c r="R28" s="691"/>
      <c r="S28" s="692"/>
      <c r="T28" s="49"/>
      <c r="U28" s="157"/>
      <c r="AA28" s="49"/>
      <c r="AC28" s="49"/>
    </row>
    <row r="29" spans="1:29" ht="11.25" customHeight="1">
      <c r="A29" s="671" t="e">
        <f>IF('Tire Dynamics'!Q20="Low",(3/2),(3/4))*'Calculation Data &amp; Factors'!A25</f>
        <v>#N/A</v>
      </c>
      <c r="B29" s="672"/>
      <c r="C29" s="673"/>
      <c r="D29" s="10"/>
      <c r="E29" s="10"/>
      <c r="F29" s="10"/>
      <c r="G29" s="10"/>
      <c r="H29" s="10"/>
      <c r="I29" s="10"/>
      <c r="J29" s="10"/>
      <c r="K29" s="10"/>
      <c r="L29" s="21"/>
      <c r="N29" s="336"/>
      <c r="O29" s="337"/>
      <c r="P29" s="337"/>
      <c r="Q29" s="334" t="s">
        <v>1011</v>
      </c>
      <c r="R29" s="334"/>
      <c r="S29" s="335"/>
      <c r="T29" s="49"/>
      <c r="U29" s="157"/>
      <c r="Y29" s="314"/>
      <c r="AA29" s="49"/>
      <c r="AC29" s="49"/>
    </row>
    <row r="30" spans="1:29" ht="11.25" customHeight="1">
      <c r="A30" s="658" t="s">
        <v>77</v>
      </c>
      <c r="B30" s="659"/>
      <c r="C30" s="660"/>
      <c r="D30" s="10"/>
      <c r="E30" s="10"/>
      <c r="F30" s="10"/>
      <c r="G30" s="10"/>
      <c r="H30" s="10"/>
      <c r="I30" s="10"/>
      <c r="J30" s="10"/>
      <c r="K30" s="10"/>
      <c r="L30" s="21"/>
      <c r="N30" s="336"/>
      <c r="O30" s="337"/>
      <c r="P30" s="337"/>
      <c r="Q30" s="334" t="s">
        <v>620</v>
      </c>
      <c r="R30" s="334"/>
      <c r="S30" s="335"/>
      <c r="T30" s="49"/>
      <c r="U30" s="157"/>
      <c r="Y30" s="314"/>
      <c r="AA30" s="49"/>
      <c r="AC30" s="49"/>
    </row>
    <row r="31" spans="1:29" ht="11.25" customHeight="1">
      <c r="A31" s="661">
        <f xml:space="preserve"> 9.80665</f>
        <v>9.8066499999999994</v>
      </c>
      <c r="B31" s="662"/>
      <c r="C31" s="663"/>
      <c r="D31" s="10"/>
      <c r="E31" s="10"/>
      <c r="F31" s="10"/>
      <c r="G31" s="10"/>
      <c r="H31" s="10"/>
      <c r="I31" s="10"/>
      <c r="J31" s="10"/>
      <c r="K31" s="10"/>
      <c r="L31" s="21"/>
      <c r="N31" s="700" t="s">
        <v>760</v>
      </c>
      <c r="O31" s="701"/>
      <c r="P31" s="701"/>
      <c r="Q31" s="701"/>
      <c r="R31" s="701"/>
      <c r="S31" s="702"/>
      <c r="T31" s="49"/>
      <c r="U31" s="157"/>
      <c r="Y31" s="314"/>
      <c r="AA31" s="49"/>
      <c r="AC31" s="49"/>
    </row>
    <row r="32" spans="1:29" ht="11.25" customHeight="1">
      <c r="A32" s="658" t="s">
        <v>68</v>
      </c>
      <c r="B32" s="659"/>
      <c r="C32" s="660"/>
      <c r="D32" s="340"/>
      <c r="E32" s="340"/>
      <c r="F32" s="340"/>
      <c r="G32" s="340"/>
      <c r="H32" s="340"/>
      <c r="I32" s="340"/>
      <c r="J32" s="340"/>
      <c r="K32" s="340"/>
      <c r="L32" s="341"/>
      <c r="T32" s="49"/>
      <c r="U32" s="157"/>
      <c r="Y32" s="314"/>
      <c r="AA32" s="49"/>
      <c r="AC32" s="49"/>
    </row>
    <row r="33" spans="1:29" ht="11.25" customHeight="1">
      <c r="A33" s="661">
        <f>1.292</f>
        <v>1.292</v>
      </c>
      <c r="B33" s="662"/>
      <c r="C33" s="663"/>
      <c r="D33" s="340"/>
      <c r="E33" s="340"/>
      <c r="F33" s="340"/>
      <c r="G33" s="340"/>
      <c r="H33" s="340"/>
      <c r="I33" s="340"/>
      <c r="J33" s="340"/>
      <c r="K33" s="340"/>
      <c r="L33" s="341"/>
      <c r="T33" s="49"/>
      <c r="U33" s="157"/>
      <c r="Y33" s="314"/>
      <c r="AA33" s="49"/>
      <c r="AC33" s="49"/>
    </row>
    <row r="34" spans="1:29" ht="11.25" customHeight="1">
      <c r="A34" s="658" t="s">
        <v>69</v>
      </c>
      <c r="B34" s="659"/>
      <c r="C34" s="660"/>
      <c r="D34" s="340"/>
      <c r="E34" s="340"/>
      <c r="F34" s="340"/>
      <c r="G34" s="340"/>
      <c r="H34" s="340"/>
      <c r="I34" s="340"/>
      <c r="J34" s="340"/>
      <c r="K34" s="340"/>
      <c r="L34" s="341"/>
      <c r="S34" s="49"/>
      <c r="T34" s="49"/>
      <c r="U34" s="157"/>
      <c r="Y34" s="314"/>
      <c r="AA34" s="49"/>
      <c r="AC34" s="49"/>
    </row>
    <row r="35" spans="1:29" ht="11.25" customHeight="1">
      <c r="A35" s="655">
        <f>IF('FMTC Main'!E5="Metric",60000/(2*PI()),33000/(2*PI()))</f>
        <v>5252.113122032546</v>
      </c>
      <c r="B35" s="656"/>
      <c r="C35" s="657"/>
      <c r="D35" s="340"/>
      <c r="E35" s="340"/>
      <c r="F35" s="340"/>
      <c r="G35" s="340"/>
      <c r="H35" s="340"/>
      <c r="I35" s="340"/>
      <c r="J35" s="340"/>
      <c r="K35" s="340"/>
      <c r="L35" s="341"/>
      <c r="N35" s="49"/>
      <c r="O35" s="49"/>
      <c r="P35" s="49"/>
      <c r="Q35" s="49"/>
      <c r="R35" s="49"/>
      <c r="S35" s="49"/>
      <c r="T35" s="49"/>
      <c r="U35" s="157"/>
      <c r="Y35" s="314"/>
      <c r="AA35" s="49"/>
      <c r="AC35" s="49"/>
    </row>
    <row r="36" spans="1:29" ht="11.25" customHeight="1">
      <c r="A36" s="664" t="s">
        <v>628</v>
      </c>
      <c r="B36" s="665"/>
      <c r="C36" s="666"/>
      <c r="D36" s="340"/>
      <c r="E36" s="340"/>
      <c r="F36" s="340"/>
      <c r="G36" s="340"/>
      <c r="H36" s="340"/>
      <c r="I36" s="340"/>
      <c r="J36" s="340"/>
      <c r="K36" s="340"/>
      <c r="L36" s="341"/>
      <c r="O36" s="49"/>
      <c r="P36" s="49"/>
      <c r="Q36" s="49"/>
      <c r="R36" s="49"/>
      <c r="S36" s="49"/>
      <c r="T36" s="49"/>
      <c r="U36" s="157"/>
      <c r="Y36" s="314"/>
      <c r="AA36" s="49"/>
      <c r="AC36" s="49"/>
    </row>
    <row r="37" spans="1:29" ht="11.25" customHeight="1">
      <c r="A37" s="655" t="str">
        <f>"RPM"</f>
        <v>RPM</v>
      </c>
      <c r="B37" s="656"/>
      <c r="C37" s="657"/>
      <c r="D37" s="340"/>
      <c r="E37" s="340"/>
      <c r="F37" s="340"/>
      <c r="G37" s="340"/>
      <c r="H37" s="340"/>
      <c r="I37" s="340"/>
      <c r="J37" s="340"/>
      <c r="K37" s="340"/>
      <c r="L37" s="341"/>
      <c r="N37" s="314"/>
      <c r="O37" s="49"/>
      <c r="P37" s="208"/>
      <c r="Q37" s="49"/>
      <c r="R37" s="49"/>
      <c r="S37" s="49"/>
      <c r="T37" s="49"/>
      <c r="U37" s="157"/>
      <c r="Y37" s="314"/>
      <c r="AA37" s="49"/>
      <c r="AC37" s="49"/>
    </row>
    <row r="38" spans="1:29" ht="11.25" customHeight="1">
      <c r="A38" s="655" t="str">
        <f>IF('FMTC Main'!E5="Metric","KM/H","MPH")</f>
        <v>MPH</v>
      </c>
      <c r="B38" s="656"/>
      <c r="C38" s="657"/>
      <c r="D38" s="340"/>
      <c r="E38" s="340"/>
      <c r="F38" s="340"/>
      <c r="G38" s="340"/>
      <c r="H38" s="340"/>
      <c r="I38" s="340"/>
      <c r="J38" s="340"/>
      <c r="K38" s="340"/>
      <c r="L38" s="341"/>
      <c r="N38" s="157"/>
      <c r="O38" s="49"/>
      <c r="P38" s="208"/>
      <c r="Q38" s="49"/>
      <c r="R38" s="49"/>
      <c r="S38" s="157"/>
      <c r="T38" s="49"/>
      <c r="U38" s="157"/>
      <c r="Y38" s="314"/>
      <c r="AA38" s="49"/>
      <c r="AC38" s="49"/>
    </row>
    <row r="39" spans="1:29" ht="11.25" customHeight="1">
      <c r="A39" s="664" t="s">
        <v>1167</v>
      </c>
      <c r="B39" s="665"/>
      <c r="C39" s="666"/>
      <c r="D39" s="433"/>
      <c r="E39" s="433"/>
      <c r="F39" s="433"/>
      <c r="G39" s="433"/>
      <c r="H39" s="433"/>
      <c r="I39" s="433"/>
      <c r="J39" s="433"/>
      <c r="K39" s="433"/>
      <c r="L39" s="434"/>
      <c r="N39" s="157"/>
      <c r="O39" s="49"/>
      <c r="P39" s="208"/>
      <c r="Q39" s="49"/>
      <c r="R39" s="49"/>
      <c r="S39" s="157"/>
      <c r="T39" s="49"/>
      <c r="U39" s="157"/>
      <c r="Y39" s="314"/>
      <c r="AA39" s="49"/>
      <c r="AC39" s="49"/>
    </row>
    <row r="40" spans="1:29" ht="11.25" customHeight="1">
      <c r="A40" s="655"/>
      <c r="B40" s="656"/>
      <c r="C40" s="657"/>
      <c r="D40" s="433"/>
      <c r="E40" s="433"/>
      <c r="F40" s="433"/>
      <c r="G40" s="433"/>
      <c r="H40" s="433"/>
      <c r="I40" s="433"/>
      <c r="J40" s="433"/>
      <c r="K40" s="433"/>
      <c r="L40" s="434"/>
      <c r="N40" s="157"/>
      <c r="O40" s="49"/>
      <c r="P40" s="208"/>
      <c r="Q40" s="49"/>
      <c r="R40" s="49"/>
      <c r="S40" s="157"/>
      <c r="T40" s="49"/>
      <c r="U40" s="157"/>
      <c r="Y40" s="314"/>
      <c r="AA40" s="49"/>
      <c r="AC40" s="49"/>
    </row>
    <row r="41" spans="1:29" ht="11.25" customHeight="1">
      <c r="A41" s="655" t="s">
        <v>1166</v>
      </c>
      <c r="B41" s="656"/>
      <c r="C41" s="657"/>
      <c r="D41" s="433"/>
      <c r="E41" s="433"/>
      <c r="F41" s="433"/>
      <c r="G41" s="433"/>
      <c r="H41" s="433"/>
      <c r="I41" s="433"/>
      <c r="J41" s="433"/>
      <c r="K41" s="433"/>
      <c r="L41" s="434"/>
      <c r="N41" s="157"/>
      <c r="O41" s="49"/>
      <c r="P41" s="208"/>
      <c r="Q41" s="49"/>
      <c r="R41" s="49"/>
      <c r="S41" s="157"/>
      <c r="T41" s="49"/>
      <c r="U41" s="157"/>
      <c r="Y41" s="314"/>
      <c r="AA41" s="49"/>
      <c r="AC41" s="49"/>
    </row>
    <row r="42" spans="1:29" ht="11.25" customHeight="1">
      <c r="A42" s="664" t="s">
        <v>573</v>
      </c>
      <c r="B42" s="665"/>
      <c r="C42" s="666"/>
      <c r="D42" s="340"/>
      <c r="E42" s="340"/>
      <c r="F42" s="340"/>
      <c r="G42" s="340"/>
      <c r="H42" s="340"/>
      <c r="I42" s="340"/>
      <c r="J42" s="340"/>
      <c r="K42" s="340"/>
      <c r="L42" s="341"/>
      <c r="O42" s="49"/>
      <c r="P42" s="49"/>
      <c r="Q42" s="49"/>
      <c r="R42" s="49"/>
      <c r="S42" s="157"/>
      <c r="T42" s="49"/>
      <c r="U42" s="157"/>
      <c r="Y42" s="314"/>
      <c r="AA42" s="49"/>
      <c r="AC42" s="49"/>
    </row>
    <row r="43" spans="1:29" ht="11.25" customHeight="1">
      <c r="A43" s="655" t="e">
        <f>((('Tire Dynamics'!Q6*'Calculation Data &amp; Factors'!A13/'Calculation Data &amp; Factors'!A12*'Tire Dynamics'!Q10*'Calculation Data &amp; Factors'!A31)*(Transmission!AH22*'Calculation Data &amp; Factors'!C12)/Transmission!AH5/IF('FMTC Main'!$E$5="Metric",1,1.35581795))-Transmission!AF42)/Transmission!AE42</f>
        <v>#DIV/0!</v>
      </c>
      <c r="B43" s="656"/>
      <c r="C43" s="657"/>
      <c r="D43" s="340"/>
      <c r="E43" s="340"/>
      <c r="F43" s="340"/>
      <c r="G43" s="340"/>
      <c r="H43" s="340"/>
      <c r="I43" s="340"/>
      <c r="J43" s="340"/>
      <c r="K43" s="340"/>
      <c r="L43" s="341"/>
      <c r="N43" s="157"/>
      <c r="P43" s="49"/>
      <c r="Q43" s="49"/>
      <c r="R43" s="49"/>
      <c r="S43" s="157"/>
      <c r="T43" s="49"/>
      <c r="U43" s="157"/>
      <c r="Y43" s="314"/>
      <c r="AA43" s="49"/>
      <c r="AC43" s="49"/>
    </row>
    <row r="44" spans="1:29" ht="11.25" customHeight="1">
      <c r="A44" s="170">
        <f>IF('FMTC Main'!E35="",2.89,'FMTC Main'!E35)</f>
        <v>2.89</v>
      </c>
      <c r="B44" s="174">
        <f>'FMTC Main'!E9+'FMTC Main'!E9*'FMTC Main'!E37</f>
        <v>0</v>
      </c>
      <c r="C44" s="175">
        <f>'FMTC Main'!E10+'FMTC Main'!E10*'FMTC Main'!E37</f>
        <v>0</v>
      </c>
      <c r="D44" s="340"/>
      <c r="E44" s="340"/>
      <c r="F44" s="340"/>
      <c r="G44" s="340"/>
      <c r="H44" s="340"/>
      <c r="I44" s="340"/>
      <c r="J44" s="340"/>
      <c r="K44" s="340"/>
      <c r="L44" s="341"/>
      <c r="N44" s="157"/>
      <c r="O44" s="49"/>
      <c r="P44" s="49"/>
      <c r="Q44" s="49"/>
      <c r="R44" s="49"/>
      <c r="S44" s="157"/>
      <c r="T44" s="82"/>
      <c r="U44" s="157"/>
      <c r="Y44" s="314"/>
      <c r="AA44" s="49"/>
      <c r="AC44" s="49"/>
    </row>
    <row r="45" spans="1:29" ht="11.25" customHeight="1">
      <c r="A45" s="342" t="e">
        <f>((B44*745.699872)/(2*PI()/60*'FMTC Main'!E14))</f>
        <v>#DIV/0!</v>
      </c>
      <c r="B45" s="179" t="e">
        <f>((B44*745.699872)/(2*PI()/60*'FMTC Main'!E14)^2)</f>
        <v>#DIV/0!</v>
      </c>
      <c r="C45" s="180" t="e">
        <f>-((B44*745.699872)/(2*PI()/60*'FMTC Main'!E14)^3)</f>
        <v>#DIV/0!</v>
      </c>
      <c r="D45" s="340"/>
      <c r="E45" s="340"/>
      <c r="F45" s="340"/>
      <c r="G45" s="340"/>
      <c r="H45" s="340"/>
      <c r="I45" s="340"/>
      <c r="J45" s="340"/>
      <c r="K45" s="340"/>
      <c r="L45" s="341"/>
      <c r="N45" s="157"/>
      <c r="O45" s="49"/>
      <c r="P45" s="49"/>
      <c r="Q45" s="49"/>
      <c r="R45" s="49"/>
      <c r="S45" s="157"/>
      <c r="T45" s="49"/>
      <c r="U45" s="157"/>
      <c r="Y45" s="314"/>
      <c r="AA45" s="49"/>
      <c r="AC45" s="49"/>
    </row>
    <row r="46" spans="1:29" ht="11.25" customHeight="1">
      <c r="A46" s="342" t="e">
        <f>((C44*1.35581795)/(2*PI()/60*'FMTC Main'!E15))</f>
        <v>#DIV/0!</v>
      </c>
      <c r="B46" s="179" t="e">
        <f>((C44*1.35581795)/(2*PI()/60*'FMTC Main'!E15)^2)</f>
        <v>#DIV/0!</v>
      </c>
      <c r="C46" s="180" t="e">
        <f>-((C44*1.35581795)/(2*PI()/60*'FMTC Main'!E15)^3)</f>
        <v>#DIV/0!</v>
      </c>
      <c r="D46" s="340"/>
      <c r="E46" s="340"/>
      <c r="F46" s="340"/>
      <c r="G46" s="340"/>
      <c r="H46" s="340"/>
      <c r="I46" s="340"/>
      <c r="J46" s="340"/>
      <c r="K46" s="340"/>
      <c r="L46" s="341"/>
      <c r="N46" s="157"/>
      <c r="O46" s="49"/>
      <c r="P46" s="49"/>
      <c r="Q46" s="49"/>
      <c r="R46" s="49"/>
      <c r="S46" s="157"/>
      <c r="T46" s="49"/>
      <c r="U46" s="157"/>
      <c r="Y46" s="314"/>
      <c r="AA46" s="49"/>
      <c r="AC46" s="49"/>
    </row>
    <row r="47" spans="1:29" ht="11.25" customHeight="1">
      <c r="A47" s="203"/>
      <c r="B47" s="204"/>
      <c r="C47" s="205"/>
      <c r="D47" s="206"/>
      <c r="E47" s="206"/>
      <c r="F47" s="206"/>
      <c r="G47" s="206"/>
      <c r="H47" s="206"/>
      <c r="I47" s="206"/>
      <c r="J47" s="206"/>
      <c r="K47" s="206"/>
      <c r="L47" s="207"/>
      <c r="N47" s="157"/>
      <c r="O47" s="49"/>
      <c r="P47" s="49"/>
      <c r="Q47" s="49"/>
      <c r="R47" s="49"/>
      <c r="S47" s="49"/>
      <c r="T47" s="49"/>
      <c r="U47" s="157"/>
      <c r="Y47" s="314"/>
      <c r="AA47" s="49"/>
      <c r="AC47" s="49"/>
    </row>
    <row r="48" spans="1:29" ht="11.25" customHeight="1">
      <c r="N48" s="49"/>
      <c r="O48" s="49"/>
      <c r="P48" s="49"/>
      <c r="Q48" s="49"/>
      <c r="R48" s="49"/>
      <c r="S48" s="49"/>
      <c r="T48" s="49"/>
      <c r="U48" s="157"/>
      <c r="Y48" s="49"/>
      <c r="AA48" s="49"/>
      <c r="AC48" s="49"/>
    </row>
    <row r="49" spans="2:19" ht="11.25" customHeight="1">
      <c r="N49" s="49"/>
      <c r="O49" s="49"/>
      <c r="P49" s="49"/>
      <c r="Q49" s="49"/>
      <c r="R49" s="49"/>
      <c r="S49" s="49"/>
    </row>
    <row r="50" spans="2:19" ht="11.25" customHeight="1">
      <c r="N50" s="49"/>
      <c r="O50" s="49"/>
      <c r="P50" s="49"/>
      <c r="Q50" s="49"/>
      <c r="R50" s="49"/>
      <c r="S50" s="49"/>
    </row>
    <row r="51" spans="2:19" ht="11.25" customHeight="1">
      <c r="N51" s="49"/>
      <c r="O51" s="49"/>
      <c r="P51" s="49"/>
      <c r="Q51" s="49"/>
      <c r="R51" s="49"/>
      <c r="S51" s="49"/>
    </row>
    <row r="52" spans="2:19" ht="11.25" customHeight="1">
      <c r="N52" s="49"/>
      <c r="O52" s="49"/>
      <c r="P52" s="49"/>
      <c r="Q52" s="49"/>
      <c r="R52" s="49"/>
      <c r="S52" s="49"/>
    </row>
    <row r="53" spans="2:19" ht="11.25" customHeight="1">
      <c r="B53" s="340"/>
      <c r="N53" s="49"/>
      <c r="O53" s="49"/>
      <c r="P53" s="49"/>
      <c r="Q53" s="49"/>
      <c r="R53" s="49"/>
      <c r="S53" s="49"/>
    </row>
    <row r="54" spans="2:19" ht="11.25" customHeight="1">
      <c r="N54" s="49"/>
      <c r="O54" s="49"/>
      <c r="P54" s="49"/>
      <c r="Q54" s="49"/>
      <c r="R54" s="49"/>
      <c r="S54" s="49"/>
    </row>
    <row r="55" spans="2:19" ht="11.25" customHeight="1">
      <c r="N55" s="49"/>
      <c r="O55" s="49"/>
      <c r="P55" s="49"/>
      <c r="Q55" s="49"/>
      <c r="R55" s="49"/>
      <c r="S55" s="49"/>
    </row>
    <row r="56" spans="2:19" ht="11.25" customHeight="1">
      <c r="N56" s="49"/>
      <c r="O56" s="49"/>
      <c r="P56" s="49"/>
      <c r="Q56" s="49"/>
      <c r="R56" s="49"/>
      <c r="S56" s="49"/>
    </row>
    <row r="57" spans="2:19" ht="11.25" customHeight="1">
      <c r="N57" s="49"/>
      <c r="O57" s="49"/>
      <c r="P57" s="49"/>
      <c r="Q57" s="49"/>
      <c r="R57" s="49"/>
      <c r="S57" s="49"/>
    </row>
    <row r="58" spans="2:19" ht="11.25" customHeight="1">
      <c r="N58" s="49"/>
      <c r="O58" s="49"/>
      <c r="P58" s="49"/>
      <c r="Q58" s="49"/>
      <c r="R58" s="49"/>
      <c r="S58" s="49"/>
    </row>
    <row r="59" spans="2:19" ht="11.25" customHeight="1">
      <c r="N59" s="49"/>
      <c r="O59" s="49"/>
      <c r="P59" s="49"/>
      <c r="Q59" s="49"/>
      <c r="R59" s="49"/>
      <c r="S59" s="49"/>
    </row>
    <row r="60" spans="2:19" ht="11.25" customHeight="1">
      <c r="N60" s="49"/>
      <c r="O60" s="49"/>
      <c r="P60" s="49"/>
      <c r="Q60" s="49"/>
      <c r="R60" s="49"/>
      <c r="S60" s="49"/>
    </row>
    <row r="61" spans="2:19" ht="11.25" customHeight="1">
      <c r="N61" s="49"/>
      <c r="O61" s="49"/>
      <c r="P61" s="49"/>
      <c r="Q61" s="49"/>
      <c r="R61" s="49"/>
      <c r="S61" s="49"/>
    </row>
    <row r="62" spans="2:19" ht="11.25" customHeight="1">
      <c r="N62" s="49"/>
      <c r="O62" s="49"/>
      <c r="P62" s="49"/>
      <c r="Q62" s="49"/>
      <c r="R62" s="49"/>
      <c r="S62" s="49"/>
    </row>
    <row r="63" spans="2:19" ht="11.25" customHeight="1">
      <c r="N63" s="49"/>
      <c r="O63" s="49"/>
      <c r="P63" s="49"/>
      <c r="Q63" s="49"/>
      <c r="R63" s="49"/>
      <c r="S63" s="49"/>
    </row>
    <row r="64" spans="2:19" ht="11.25" customHeight="1">
      <c r="N64" s="49"/>
      <c r="O64" s="49"/>
      <c r="P64" s="49"/>
      <c r="Q64" s="49"/>
      <c r="R64" s="49"/>
      <c r="S64" s="49"/>
    </row>
    <row r="65" spans="14:19" ht="11.25" customHeight="1">
      <c r="N65" s="49"/>
      <c r="O65" s="49"/>
      <c r="P65" s="49"/>
      <c r="Q65" s="49"/>
      <c r="R65" s="49"/>
      <c r="S65" s="49"/>
    </row>
  </sheetData>
  <sheetProtection sheet="1" objects="1" scenarios="1" selectLockedCells="1"/>
  <mergeCells count="81">
    <mergeCell ref="Q3:S3"/>
    <mergeCell ref="N3:P3"/>
    <mergeCell ref="N27:P27"/>
    <mergeCell ref="N31:S31"/>
    <mergeCell ref="N12:P12"/>
    <mergeCell ref="Q9:S9"/>
    <mergeCell ref="N8:P8"/>
    <mergeCell ref="Q11:S11"/>
    <mergeCell ref="N11:P11"/>
    <mergeCell ref="N10:P10"/>
    <mergeCell ref="Q28:S28"/>
    <mergeCell ref="Q27:S27"/>
    <mergeCell ref="Q7:S7"/>
    <mergeCell ref="N5:P5"/>
    <mergeCell ref="K5:L5"/>
    <mergeCell ref="N7:P7"/>
    <mergeCell ref="N6:P6"/>
    <mergeCell ref="Q6:S6"/>
    <mergeCell ref="N1:S1"/>
    <mergeCell ref="Q2:S2"/>
    <mergeCell ref="Q5:S5"/>
    <mergeCell ref="Q4:S4"/>
    <mergeCell ref="A1:L1"/>
    <mergeCell ref="K2:L2"/>
    <mergeCell ref="G2:H2"/>
    <mergeCell ref="C2:D2"/>
    <mergeCell ref="E2:F2"/>
    <mergeCell ref="I3:J3"/>
    <mergeCell ref="N2:P2"/>
    <mergeCell ref="N4:P4"/>
    <mergeCell ref="K4:L4"/>
    <mergeCell ref="I2:J2"/>
    <mergeCell ref="C3:D3"/>
    <mergeCell ref="K3:L3"/>
    <mergeCell ref="I4:J4"/>
    <mergeCell ref="G3:H3"/>
    <mergeCell ref="I5:J5"/>
    <mergeCell ref="E4:F4"/>
    <mergeCell ref="A9:C9"/>
    <mergeCell ref="A8:C8"/>
    <mergeCell ref="A7:C7"/>
    <mergeCell ref="G5:H5"/>
    <mergeCell ref="E5:F5"/>
    <mergeCell ref="A5:B5"/>
    <mergeCell ref="C5:D5"/>
    <mergeCell ref="A19:C19"/>
    <mergeCell ref="A15:C15"/>
    <mergeCell ref="A16:C16"/>
    <mergeCell ref="E3:F3"/>
    <mergeCell ref="G4:H4"/>
    <mergeCell ref="A18:C18"/>
    <mergeCell ref="A2:B2"/>
    <mergeCell ref="A3:B3"/>
    <mergeCell ref="A4:B4"/>
    <mergeCell ref="A10:C10"/>
    <mergeCell ref="A29:C29"/>
    <mergeCell ref="A21:C21"/>
    <mergeCell ref="A14:C14"/>
    <mergeCell ref="A23:C23"/>
    <mergeCell ref="A25:C25"/>
    <mergeCell ref="A24:C24"/>
    <mergeCell ref="C4:D4"/>
    <mergeCell ref="A27:C27"/>
    <mergeCell ref="A22:C22"/>
    <mergeCell ref="A28:C28"/>
    <mergeCell ref="A26:C26"/>
    <mergeCell ref="A20:C20"/>
    <mergeCell ref="A43:C43"/>
    <mergeCell ref="A34:C34"/>
    <mergeCell ref="A33:C33"/>
    <mergeCell ref="A32:C32"/>
    <mergeCell ref="A30:C30"/>
    <mergeCell ref="A31:C31"/>
    <mergeCell ref="A42:C42"/>
    <mergeCell ref="A38:C38"/>
    <mergeCell ref="A37:C37"/>
    <mergeCell ref="A36:C36"/>
    <mergeCell ref="A35:C35"/>
    <mergeCell ref="A39:C39"/>
    <mergeCell ref="A40:C40"/>
    <mergeCell ref="A41:C41"/>
  </mergeCells>
  <conditionalFormatting sqref="B46:C46 B44:C44">
    <cfRule type="containsErrors" dxfId="27" priority="3" stopIfTrue="1">
      <formula>ISERROR(B44)</formula>
    </cfRule>
  </conditionalFormatting>
  <conditionalFormatting sqref="B45:C45">
    <cfRule type="containsErrors" dxfId="26" priority="2" stopIfTrue="1">
      <formula>ISERROR(B45)</formula>
    </cfRule>
  </conditionalFormatting>
  <hyperlinks>
    <hyperlink ref="N31:S31" r:id="rId1" display="[ Please Donate Here ]"/>
  </hyperlinks>
  <pageMargins left="0.7" right="0.7" top="0.75" bottom="0.75" header="0.3" footer="0.3"/>
  <pageSetup scale="72" orientation="portrait" horizontalDpi="4294967293" verticalDpi="4294967293"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2:AG212"/>
  <sheetViews>
    <sheetView workbookViewId="0">
      <selection activeCell="J10" sqref="J10"/>
    </sheetView>
  </sheetViews>
  <sheetFormatPr defaultColWidth="6.5703125" defaultRowHeight="12.95" customHeight="1"/>
  <cols>
    <col min="1" max="7" width="6.5703125" style="91" customWidth="1"/>
    <col min="8" max="8" width="6.5703125" style="92"/>
    <col min="9" max="15" width="6.5703125" style="92" customWidth="1"/>
    <col min="16" max="24" width="6.5703125" style="92"/>
    <col min="25" max="33" width="6.5703125" style="3" customWidth="1"/>
    <col min="34" max="16384" width="6.5703125" style="92"/>
  </cols>
  <sheetData>
    <row r="2" spans="2:33" ht="12.95" customHeight="1" thickBot="1">
      <c r="L2" s="549" t="s">
        <v>673</v>
      </c>
      <c r="M2" s="550"/>
      <c r="N2" s="551"/>
      <c r="O2" s="163" t="e">
        <f>(4*PI()^2*'Tire Dynamics'!Q17^2*('Tire Dynamics'!Q8/2/'Calculation Data &amp; Factors'!A12)*'Tire Dynamics'!Q18^2)/((4*PI()^2*'Tire Dynamics'!Q17^2*('Tire Dynamics'!Q8/2/'Calculation Data &amp; Factors'!A12)*'Tire Dynamics'!Q18^2)+(4*PI()^2*'Tire Dynamics'!R17^2*('Tire Dynamics'!R8/2/'Calculation Data &amp; Factors'!A12)*'Tire Dynamics'!Q18^2))</f>
        <v>#N/A</v>
      </c>
      <c r="P2" s="163" t="e">
        <f>1-Graveyard!O2</f>
        <v>#N/A</v>
      </c>
      <c r="S2" s="481" t="s">
        <v>647</v>
      </c>
      <c r="T2" s="484"/>
      <c r="U2" s="484"/>
      <c r="V2" s="163">
        <f>'FMTC Main'!W36</f>
        <v>0</v>
      </c>
      <c r="W2" s="163">
        <f>'FMTC Main'!X36</f>
        <v>0</v>
      </c>
      <c r="Y2" s="711" t="s">
        <v>758</v>
      </c>
      <c r="Z2" s="711"/>
      <c r="AA2" s="711"/>
      <c r="AB2" s="711"/>
      <c r="AC2" s="711"/>
      <c r="AD2" s="711"/>
      <c r="AE2" s="711"/>
      <c r="AF2" s="711"/>
      <c r="AG2" s="711"/>
    </row>
    <row r="3" spans="2:33" ht="12.95" customHeight="1" thickTop="1">
      <c r="B3" s="481" t="str">
        <f>"Weight Transfer"</f>
        <v>Weight Transfer</v>
      </c>
      <c r="C3" s="484"/>
      <c r="D3" s="508"/>
      <c r="E3" s="131" t="e">
        <f>'Tire Dynamics'!Q6*'Tire Dynamics'!Q12/'Tire Dynamics'!Q44*1</f>
        <v>#N/A</v>
      </c>
      <c r="F3" s="127" t="str">
        <f>IF('FMTC Main'!E5="Metric","kg","lbs")</f>
        <v>lbs</v>
      </c>
      <c r="L3" s="3"/>
      <c r="M3" s="3"/>
      <c r="N3" s="3"/>
      <c r="O3" s="3"/>
      <c r="P3" s="3"/>
      <c r="S3" s="481" t="s">
        <v>645</v>
      </c>
      <c r="T3" s="484"/>
      <c r="U3" s="484"/>
      <c r="V3" s="114">
        <f>((('FMTC Main'!W33-'FMTC Main'!W32)+('FMTC Main'!X33-'FMTC Main'!X32))*V2*'FMTC Main'!W34)+'FMTC Main'!W32</f>
        <v>0</v>
      </c>
      <c r="W3" s="114">
        <f>((('FMTC Main'!W33-'FMTC Main'!W32)+('FMTC Main'!X33-'FMTC Main'!X32))*W2*'FMTC Main'!W34)+'FMTC Main'!X32</f>
        <v>0</v>
      </c>
    </row>
    <row r="4" spans="2:33" ht="12.95" customHeight="1">
      <c r="B4" s="443" t="s">
        <v>56</v>
      </c>
      <c r="C4" s="443"/>
      <c r="D4" s="443"/>
      <c r="E4" s="464" t="e">
        <f>(PRODUCT(('FMTC Main'!W19+'FMTC Main'!X19),2)/IF('FMTC Main'!E5="Metric",0.393700787,1))/'FMTC Main'!E11</f>
        <v>#N/A</v>
      </c>
      <c r="F4" s="464"/>
      <c r="V4" s="107">
        <f>Transmission!B20*('FMTC Main'!E13* 61.0237)/3456</f>
        <v>0</v>
      </c>
      <c r="W4" s="105" t="s">
        <v>631</v>
      </c>
      <c r="Y4" s="712" t="s">
        <v>754</v>
      </c>
      <c r="Z4" s="713"/>
      <c r="AA4" s="712" t="s">
        <v>755</v>
      </c>
      <c r="AB4" s="713"/>
      <c r="AD4" s="714" t="s">
        <v>756</v>
      </c>
      <c r="AE4" s="714"/>
      <c r="AF4" s="714" t="s">
        <v>757</v>
      </c>
      <c r="AG4" s="714"/>
    </row>
    <row r="5" spans="2:33" ht="12.95" customHeight="1">
      <c r="L5" s="481" t="s">
        <v>664</v>
      </c>
      <c r="M5" s="484"/>
      <c r="N5" s="508"/>
      <c r="O5" s="128" t="e">
        <f>SQRT('Tire Dynamics'!Q10*'Calculation Data &amp; Factors'!A31*100)/'Calculation Data &amp; Factors'!#REF!</f>
        <v>#REF!</v>
      </c>
      <c r="P5" s="125" t="str">
        <f>IF('FMTC Main'!E5="Metric","km/h","mph")</f>
        <v>mph</v>
      </c>
      <c r="Y5" s="501" t="s">
        <v>667</v>
      </c>
      <c r="Z5" s="704" t="s">
        <v>670</v>
      </c>
      <c r="AA5" s="501" t="s">
        <v>667</v>
      </c>
      <c r="AB5" s="704" t="s">
        <v>670</v>
      </c>
      <c r="AC5" s="49"/>
      <c r="AD5" s="501" t="s">
        <v>667</v>
      </c>
      <c r="AE5" s="704" t="s">
        <v>670</v>
      </c>
      <c r="AF5" s="501" t="s">
        <v>667</v>
      </c>
      <c r="AG5" s="704" t="s">
        <v>670</v>
      </c>
    </row>
    <row r="6" spans="2:33" ht="12.95" customHeight="1">
      <c r="C6" s="256" t="e">
        <f>((('Tire Dynamics'!B24+'Tire Dynamics'!Q15/2)*'Calculation Data &amp; Factors'!A11)/(PI()*((INDEX('Vehicle Database'!W3:W569,MATCH('FMTC Main'!H1,'Vehicle Database'!AA3:AA534,FALSE),1)*0.0393700787)/2)^2))/(((('Tire Dynamics'!B24+'Tire Dynamics'!Q15/2)*'Calculation Data &amp; Factors'!A11)/(PI()*((INDEX('Vehicle Database'!W3:W569,MATCH('FMTC Main'!H1,'Vehicle Database'!AA3:AA534,FALSE),1)*0.0393700787)/2)^2))+((('Tire Dynamics'!H24)*'Calculation Data &amp; Factors'!A11)/(PI()*((INDEX('Vehicle Database'!X3:X569,MATCH('FMTC Main'!H1,'Vehicle Database'!AA3:AA534,FALSE),1)*0.0393700787)/2)^2)))</f>
        <v>#N/A</v>
      </c>
      <c r="E6" s="435">
        <v>0.125</v>
      </c>
      <c r="F6" s="721">
        <f>('FMTC Main'!K19/0.85)*2.89</f>
        <v>2.72</v>
      </c>
      <c r="L6" s="510" t="s">
        <v>38</v>
      </c>
      <c r="M6" s="511"/>
      <c r="N6" s="512"/>
      <c r="O6" s="131" t="e">
        <f>((1/2)*'Calculation Data &amp; Factors'!$A$33*(Graveyard!O5*IF('FMTC Main'!$E$5="Metric",0.2778,0.4469))^2*Aerodynamics!$N$12)*IF('FMTC Main'!$E$5="Metric",0.10197,0.22481)</f>
        <v>#REF!</v>
      </c>
      <c r="P6" s="116" t="str">
        <f>IF('FMTC Main'!E5="Metric","kg","lbs")</f>
        <v>lbs</v>
      </c>
      <c r="Y6" s="502"/>
      <c r="Z6" s="705"/>
      <c r="AA6" s="502"/>
      <c r="AB6" s="705"/>
      <c r="AC6" s="49"/>
      <c r="AD6" s="502"/>
      <c r="AE6" s="705"/>
      <c r="AF6" s="502"/>
      <c r="AG6" s="705"/>
    </row>
    <row r="7" spans="2:33" ht="12.95" customHeight="1">
      <c r="C7" s="256" t="e">
        <f>'FMTC Main'!E11/INDEX('Vehicle Database'!O3:O569,MATCH('FMTC Main'!H1,'Vehicle Database'!AA3:AA534,FALSE),1)</f>
        <v>#N/A</v>
      </c>
      <c r="L7" s="481" t="s">
        <v>647</v>
      </c>
      <c r="M7" s="484"/>
      <c r="N7" s="508"/>
      <c r="O7" s="117">
        <f>'FMTC Main'!W36</f>
        <v>0</v>
      </c>
      <c r="P7" s="117">
        <f>'FMTC Main'!X36</f>
        <v>0</v>
      </c>
      <c r="Y7" s="196"/>
      <c r="Z7" s="197"/>
      <c r="AA7" s="196"/>
      <c r="AB7" s="196"/>
      <c r="AC7" s="49"/>
      <c r="AD7" s="196"/>
      <c r="AE7" s="196"/>
      <c r="AF7" s="196"/>
      <c r="AG7" s="196"/>
    </row>
    <row r="8" spans="2:33" ht="12.95" customHeight="1">
      <c r="C8" s="256">
        <f>'Tire Dynamics'!Q10/SQRT('Tire Dynamics'!Q10^2+0.5^2)</f>
        <v>0</v>
      </c>
      <c r="L8" s="129"/>
      <c r="M8" s="129"/>
      <c r="N8" s="129"/>
      <c r="O8" s="50" t="e">
        <f>(O6-('FMTC Main'!W32+'FMTC Main'!X32))*O7+'FMTC Main'!W32</f>
        <v>#REF!</v>
      </c>
      <c r="P8" s="50" t="e">
        <f>(O6-('FMTC Main'!W32+'FMTC Main'!X32))*P7+'FMTC Main'!X32</f>
        <v>#REF!</v>
      </c>
      <c r="Y8" s="196"/>
      <c r="Z8" s="197"/>
      <c r="AA8" s="199"/>
      <c r="AB8" s="198"/>
      <c r="AC8" s="49"/>
      <c r="AD8" s="196"/>
      <c r="AE8" s="198"/>
      <c r="AF8" s="199"/>
      <c r="AG8" s="198"/>
    </row>
    <row r="9" spans="2:33" ht="12.95" customHeight="1">
      <c r="Y9" s="196"/>
      <c r="Z9" s="197"/>
      <c r="AA9" s="200"/>
      <c r="AB9" s="198"/>
      <c r="AC9" s="49"/>
      <c r="AD9" s="196"/>
      <c r="AE9" s="198"/>
      <c r="AF9" s="200"/>
      <c r="AG9" s="198"/>
    </row>
    <row r="10" spans="2:33" ht="12.95" customHeight="1">
      <c r="B10" s="485" t="s">
        <v>1119</v>
      </c>
      <c r="C10" s="486"/>
      <c r="D10" s="487"/>
      <c r="E10" s="49"/>
      <c r="F10" s="49"/>
      <c r="L10" s="521" t="s">
        <v>738</v>
      </c>
      <c r="M10" s="522"/>
      <c r="N10" s="523"/>
      <c r="O10" s="319">
        <v>0</v>
      </c>
      <c r="P10" s="319">
        <v>0</v>
      </c>
      <c r="Y10" s="196"/>
      <c r="Z10" s="197"/>
      <c r="AA10" s="200"/>
      <c r="AB10" s="198"/>
      <c r="AC10" s="49"/>
      <c r="AD10" s="196"/>
      <c r="AE10" s="198"/>
      <c r="AF10" s="200"/>
      <c r="AG10" s="198"/>
    </row>
    <row r="11" spans="2:33" ht="12.95" customHeight="1">
      <c r="B11" s="619" t="str">
        <f>"Weight Transfer"</f>
        <v>Weight Transfer</v>
      </c>
      <c r="C11" s="619"/>
      <c r="D11" s="619"/>
      <c r="E11" s="320" t="e">
        <f>((('Tire Dynamics'!Q12-AVERAGE('Tire Dynamics'!D24,'Tire Dynamics'!J24)))*('Tire Dynamics'!Q6*'Tire Dynamics'!Q10)/('Tire Dynamics'!Q44/2))/2</f>
        <v>#N/A</v>
      </c>
      <c r="F11" s="321" t="str">
        <f>IF('FMTC Main'!$E$5="Metric","kg","lbs")</f>
        <v>lbs</v>
      </c>
      <c r="L11" s="3"/>
      <c r="M11" s="3"/>
      <c r="N11" s="3"/>
      <c r="O11" s="113" t="e">
        <f>(('Tire Dynamics'!$B17*IF('FMTC Main'!$E$5="Metric",2.2046,1))/(('Tire Dynamics'!$E$8)*IF('FMTC Main'!$E$5="Metric",14.5037738,1))/('Tire Dynamics'!$E$13/IF('FMTC Main'!$E$5="Metric",0.0254,1)))*IF('FMTC Main'!$E$5="Metric",0.0254,1)+(('Tire Dynamics'!$B17*IF('FMTC Main'!$E$5="Metric",2.2046,1))/(('Tire Dynamics'!$E$8)*IF('FMTC Main'!$E$5="Metric",14.5037738,1))/('Tire Dynamics'!$E$13/IF('FMTC Main'!$E$5="Metric",0.0254,1)))*IF('FMTC Main'!$E$5="Metric",0.0254,1)*$O$10</f>
        <v>#N/A</v>
      </c>
      <c r="P11" s="113" t="e">
        <f>(('Tire Dynamics'!$H17*IF('FMTC Main'!$E$5="Metric",2.2046,1))/(('Tire Dynamics'!$K$8)*IF('FMTC Main'!$E$5="Metric",14.5037738,1))/('Tire Dynamics'!$K$13/IF('FMTC Main'!$E$5="Metric",0.0254,1)))*IF('FMTC Main'!$E$5="Metric",0.0254,1)+(('Tire Dynamics'!$H17*IF('FMTC Main'!$E$5="Metric",2.2046,1))/(('Tire Dynamics'!$K$8)*IF('FMTC Main'!$E$5="Metric",14.5037738,1))/('Tire Dynamics'!$K$13/IF('FMTC Main'!$E$5="Metric",0.0254,1)))*IF('FMTC Main'!$E$5="Metric",0.0254,1)*$P$10</f>
        <v>#N/A</v>
      </c>
      <c r="S11" s="481" t="str">
        <f>"Droop Travel"&amp;" "&amp;IF('FMTC Main'!E22="Metric","(m)","(in)")</f>
        <v>Droop Travel (in)</v>
      </c>
      <c r="T11" s="484"/>
      <c r="U11" s="508"/>
      <c r="V11" s="156" t="e">
        <f>(('Tire Dynamics'!Q8/2)-50)/'Tire Dynamics'!Q21</f>
        <v>#N/A</v>
      </c>
      <c r="W11" s="156" t="e">
        <f>(('Tire Dynamics'!R8/2)-50)/'Tire Dynamics'!R21</f>
        <v>#N/A</v>
      </c>
      <c r="Y11" s="196"/>
      <c r="Z11" s="197"/>
      <c r="AA11" s="199"/>
      <c r="AB11" s="198"/>
      <c r="AC11" s="49"/>
      <c r="AD11" s="196"/>
      <c r="AE11" s="198"/>
      <c r="AF11" s="199"/>
      <c r="AG11" s="198"/>
    </row>
    <row r="12" spans="2:33" ht="12.95" customHeight="1">
      <c r="B12" s="619" t="str">
        <f>"Axle Load"&amp;" "&amp;IF('FMTC Main'!$E$5="Metric","(kg)","(lb)")</f>
        <v>Axle Load (lb)</v>
      </c>
      <c r="C12" s="619"/>
      <c r="D12" s="619"/>
      <c r="E12" s="322" t="e">
        <f>'Tire Dynamics'!Q8/2+E11</f>
        <v>#N/A</v>
      </c>
      <c r="F12" s="322" t="e">
        <f>'Tire Dynamics'!R8/2-E11</f>
        <v>#N/A</v>
      </c>
      <c r="Y12" s="196"/>
      <c r="Z12" s="197"/>
      <c r="AA12" s="199"/>
      <c r="AB12" s="198"/>
      <c r="AC12" s="49"/>
      <c r="AD12" s="196"/>
      <c r="AE12" s="198"/>
      <c r="AF12" s="199"/>
      <c r="AG12" s="198"/>
    </row>
    <row r="13" spans="2:33" ht="12.95" customHeight="1">
      <c r="B13" s="619" t="str">
        <f>"Contact Patch"&amp;" "&amp;IF('FMTC Main'!$E$5="Metric","(m)","(in)")</f>
        <v>Contact Patch (in)</v>
      </c>
      <c r="C13" s="619"/>
      <c r="D13" s="619"/>
      <c r="E13" s="323" t="e">
        <f>((E12/2*IF('FMTC Main'!$E$5="Metric",2.2046,1))/(('Tire Dynamics'!$E$8)*IF('FMTC Main'!$E$5="Metric",14.5037738,1))/('Tire Dynamics'!$E$13/IF('FMTC Main'!$E$5="Metric",0.0254,1)))*IF('FMTC Main'!$E$5="Metric",0.0254,1)</f>
        <v>#N/A</v>
      </c>
      <c r="F13" s="323" t="e">
        <f>((F12/2*IF('FMTC Main'!$E$5="Metric",2.2046,1))/(('Tire Dynamics'!$K$8)*IF('FMTC Main'!$E$5="Metric",14.5037738,1))/('Tire Dynamics'!$K$13/IF('FMTC Main'!$E$5="Metric",0.0254,1)))*IF('FMTC Main'!$E$5="Metric",0.0254,1)</f>
        <v>#N/A</v>
      </c>
      <c r="Y13" s="196"/>
      <c r="Z13" s="197"/>
      <c r="AA13" s="196"/>
      <c r="AB13" s="196"/>
      <c r="AC13" s="49"/>
      <c r="AD13" s="196"/>
      <c r="AE13" s="197"/>
      <c r="AF13" s="196"/>
      <c r="AG13" s="196"/>
    </row>
    <row r="14" spans="2:33" ht="12.95" customHeight="1">
      <c r="B14" s="619" t="str">
        <f>"Loaded Radius"&amp;" "&amp;IF('FMTC Main'!$E$5="Metric","(m)","(in)")</f>
        <v>Loaded Radius (in)</v>
      </c>
      <c r="C14" s="619"/>
      <c r="D14" s="619"/>
      <c r="E14" s="323" t="e">
        <f>(SQRT((('Tire Dynamics'!$E$9/IF('FMTC Main'!$E$5="Metric",0.0254,1))^2)-((E13/IF('FMTC Main'!$E$5="Metric",0.0254,1))/2)^2))*IF('FMTC Main'!$E$5="Metric",0.0254,1)</f>
        <v>#N/A</v>
      </c>
      <c r="F14" s="323" t="e">
        <f>(SQRT((('Tire Dynamics'!$K$9/IF('FMTC Main'!$E$5="Metric",0.0254,1))^2)-((F13/IF('FMTC Main'!$E$5="Metric",0.0254,1))/2)^2))*IF('FMTC Main'!$E$5="Metric",0.0254,1)</f>
        <v>#N/A</v>
      </c>
      <c r="Y14" s="196"/>
      <c r="Z14" s="197"/>
      <c r="AA14" s="199"/>
      <c r="AB14" s="198"/>
      <c r="AC14" s="49"/>
      <c r="AD14" s="196"/>
      <c r="AE14" s="198"/>
      <c r="AF14" s="199"/>
      <c r="AG14" s="198"/>
    </row>
    <row r="15" spans="2:33" ht="12.95" customHeight="1">
      <c r="B15" s="619" t="str">
        <f>"Brake Torque"&amp;" "&amp;IF('FMTC Main'!$E$5="Metric","(kg-m)","(lb-in)")</f>
        <v>Brake Torque (lb-in)</v>
      </c>
      <c r="C15" s="619"/>
      <c r="D15" s="619"/>
      <c r="E15" s="322" t="e">
        <f>(E12/'Calculation Data &amp; Factors'!A12*'Tire Dynamics'!Q10*'Calculation Data &amp; Factors'!A31*E14*'Calculation Data &amp; Factors'!C12)/IF('FMTC Main'!E5="Metric",'Calculation Data &amp; Factors'!A31,0.112984829)</f>
        <v>#N/A</v>
      </c>
      <c r="F15" s="322" t="e">
        <f>(F12/'Calculation Data &amp; Factors'!A12*'Tire Dynamics'!Q10*'Calculation Data &amp; Factors'!A31*F14*'Calculation Data &amp; Factors'!C12)/IF('FMTC Main'!E5="Metric",'Calculation Data &amp; Factors'!A31,0.112984829)</f>
        <v>#N/A</v>
      </c>
      <c r="L15" s="707" t="s">
        <v>648</v>
      </c>
      <c r="M15" s="708"/>
      <c r="N15" s="709"/>
      <c r="O15" s="164" t="e">
        <f>'FMTC Main'!E22/('FMTC Main'!E22+'FMTC Main'!E27)</f>
        <v>#DIV/0!</v>
      </c>
      <c r="P15" s="164" t="e">
        <f>1-O15</f>
        <v>#DIV/0!</v>
      </c>
      <c r="Y15" s="196"/>
      <c r="Z15" s="197"/>
      <c r="AA15" s="200"/>
      <c r="AB15" s="198"/>
      <c r="AC15" s="49"/>
      <c r="AD15" s="196"/>
      <c r="AE15" s="198"/>
      <c r="AF15" s="200"/>
      <c r="AG15" s="198"/>
    </row>
    <row r="16" spans="2:33" ht="12.95" customHeight="1">
      <c r="B16" s="619" t="s">
        <v>1118</v>
      </c>
      <c r="C16" s="619"/>
      <c r="D16" s="619"/>
      <c r="E16" s="323" t="e">
        <f>(INDEX('Vehicle Database'!W3:W569,MATCH('FMTC Main'!H1,'Vehicle Database'!AA3:AA569,FALSE),1)*IF('FMTC Main'!E5="Metric",0.001,0.0393700787))/(E14*2)</f>
        <v>#N/A</v>
      </c>
      <c r="F16" s="323" t="e">
        <f>(INDEX('Vehicle Database'!X3:X569,MATCH('FMTC Main'!H1,'Vehicle Database'!AA3:AA569,FALSE),1)*IF('FMTC Main'!E5="Metric",0.001,0.0393700787))/(F14*2)</f>
        <v>#N/A</v>
      </c>
      <c r="Y16" s="196"/>
      <c r="Z16" s="197"/>
      <c r="AA16" s="200"/>
      <c r="AB16" s="198"/>
      <c r="AC16" s="49"/>
      <c r="AD16" s="196"/>
      <c r="AE16" s="198"/>
      <c r="AF16" s="200"/>
      <c r="AG16" s="198"/>
    </row>
    <row r="17" spans="2:33" ht="12.95" customHeight="1">
      <c r="B17" s="619" t="str">
        <f>"Brake Radius"&amp;" "&amp;IF('FMTC Main'!$E$5="Metric","(m)","(in)")</f>
        <v>Brake Radius (in)</v>
      </c>
      <c r="C17" s="619"/>
      <c r="D17" s="619"/>
      <c r="E17" s="323" t="e">
        <f>(INDEX('Vehicle Database'!W3:W569,MATCH('FMTC Main'!H1,'Vehicle Database'!AA3:AA569,FALSE),1)*IF('FMTC Main'!E5="Metric",0.001,0.0393700787))/2</f>
        <v>#N/A</v>
      </c>
      <c r="F17" s="323" t="e">
        <f>(INDEX('Vehicle Database'!X3:X569,MATCH('FMTC Main'!H1,'Vehicle Database'!AA3:AA569,FALSE),1)*IF('FMTC Main'!E5="Metric",0.001,0.0393700787))/2</f>
        <v>#N/A</v>
      </c>
      <c r="P17" s="171" t="e">
        <f>AVERAGE('FMTC Main'!K24/-1*2,DEGREES(SIN(('Tire Dynamics'!C17/2)/('Tire Dynamics'!D17))))</f>
        <v>#DIV/0!</v>
      </c>
      <c r="Y17" s="196"/>
      <c r="Z17" s="197"/>
      <c r="AA17" s="199"/>
      <c r="AB17" s="198"/>
      <c r="AC17" s="49"/>
      <c r="AD17" s="196"/>
      <c r="AE17" s="198"/>
      <c r="AF17" s="199"/>
      <c r="AG17" s="198"/>
    </row>
    <row r="18" spans="2:33" ht="12.95" customHeight="1">
      <c r="B18" s="619" t="str">
        <f>"Clamp Force"&amp;" "&amp;IF('FMTC Main'!$E$5="Metric","(kgf)","(lbf)")</f>
        <v>Clamp Force (lbf)</v>
      </c>
      <c r="C18" s="619"/>
      <c r="D18" s="619"/>
      <c r="E18" s="322" t="e">
        <f>E15/E16/E17</f>
        <v>#N/A</v>
      </c>
      <c r="F18" s="322" t="e">
        <f>F15/F16/F17</f>
        <v>#N/A</v>
      </c>
      <c r="Y18" s="196"/>
      <c r="Z18" s="197"/>
      <c r="AA18" s="199"/>
      <c r="AB18" s="198"/>
      <c r="AC18" s="49"/>
      <c r="AD18" s="196"/>
      <c r="AE18" s="198"/>
      <c r="AF18" s="199"/>
      <c r="AG18" s="198"/>
    </row>
    <row r="19" spans="2:33" ht="12.95" customHeight="1">
      <c r="B19" s="619" t="s">
        <v>1115</v>
      </c>
      <c r="C19" s="619"/>
      <c r="D19" s="619"/>
      <c r="E19" s="719" t="e">
        <f>E18/(E18+F18)</f>
        <v>#N/A</v>
      </c>
      <c r="F19" s="719"/>
      <c r="L19" s="22"/>
      <c r="M19" s="22"/>
      <c r="N19" s="22"/>
      <c r="O19" s="22"/>
      <c r="P19" s="22"/>
      <c r="Q19" s="22"/>
      <c r="R19" s="173" t="e">
        <f>((AVERAGE(V27,V28)/IF('FMTC Main'!E5="Metric",0.0254,1))*60*'FMTC Main'!E16)/((Transmission!AH33/'Calculation Data &amp; Factors'!B11)*12*5280)</f>
        <v>#DIV/0!</v>
      </c>
      <c r="S19" s="22"/>
      <c r="T19" s="22"/>
      <c r="U19" s="22"/>
      <c r="V19" s="22"/>
      <c r="Y19" s="196"/>
      <c r="Z19" s="197"/>
      <c r="AA19" s="199"/>
      <c r="AB19" s="198"/>
      <c r="AC19" s="49"/>
      <c r="AD19" s="196"/>
      <c r="AE19" s="198"/>
      <c r="AF19" s="199"/>
      <c r="AG19" s="198"/>
    </row>
    <row r="20" spans="2:33" ht="12.95" customHeight="1">
      <c r="B20" s="619" t="s">
        <v>1116</v>
      </c>
      <c r="C20" s="619"/>
      <c r="D20" s="619"/>
      <c r="E20" s="718">
        <f>'Tire Dynamics'!Q10/SQRT('Tire Dynamics'!Q10^2+0.5^2)</f>
        <v>0</v>
      </c>
      <c r="F20" s="718"/>
      <c r="L20" s="38" t="e">
        <f>'Tire Dynamics'!$Q$8/2+Aerodynamics!D$7/4</f>
        <v>#DIV/0!</v>
      </c>
      <c r="M20" s="39" t="e">
        <f>(($L20*IF('FMTC Main'!$E$5="Metric",2.2046,1))/('Tire Dynamics'!$E$8*IF('FMTC Main'!$E$5="Metric",14.5037738,1))/('Tire Dynamics'!$E$13/IF('FMTC Main'!$E$5="Metric",0.0254,1)))*IF('FMTC Main'!$E$5="Metric",0.0254,1)</f>
        <v>#DIV/0!</v>
      </c>
      <c r="N20" s="39" t="e">
        <f>(SQRT((('Tire Dynamics'!$E$9/IF('FMTC Main'!$E$5="Metric",0.0254,1))^2)-(($M20/IF('FMTC Main'!$E$5="Metric",0.0254,1))/2)^2))*IF('FMTC Main'!$E$5="Metric",0.0254,1)</f>
        <v>#DIV/0!</v>
      </c>
      <c r="O20" s="39" t="e">
        <f t="shared" ref="O20:O25" si="0">N20*2</f>
        <v>#DIV/0!</v>
      </c>
      <c r="P20" s="39" t="e">
        <f t="shared" ref="P20:P25" si="1">O20*PI()</f>
        <v>#DIV/0!</v>
      </c>
      <c r="Q20" s="22"/>
      <c r="R20" s="173" t="e">
        <f>('FMTC Main'!E16*(AVERAGE(P20,P27)*IF('FMTC Main'!$E$5="Metric",39.3700787,1))*60)/((Aerodynamics!D5/'Calculation Data &amp; Factors'!B11)*R19*63360)</f>
        <v>#DIV/0!</v>
      </c>
      <c r="S20" s="22"/>
      <c r="T20" s="22"/>
      <c r="U20" s="22"/>
      <c r="V20" s="22"/>
      <c r="Y20" s="196"/>
      <c r="Z20" s="197"/>
      <c r="AA20" s="199"/>
      <c r="AB20" s="198"/>
      <c r="AC20" s="49"/>
      <c r="AD20" s="196"/>
      <c r="AE20" s="198"/>
      <c r="AF20" s="199"/>
      <c r="AG20" s="198"/>
    </row>
    <row r="21" spans="2:33" ht="12.95" customHeight="1">
      <c r="L21" s="38" t="e">
        <f>'Tire Dynamics'!$Q$8/2+Aerodynamics!E$7/4</f>
        <v>#DIV/0!</v>
      </c>
      <c r="M21" s="39" t="e">
        <f>(($L21*IF('FMTC Main'!$E$5="Metric",2.2046,1))/('Tire Dynamics'!$E$8*IF('FMTC Main'!$E$5="Metric",14.5037738,1))/('Tire Dynamics'!$E$13/IF('FMTC Main'!$E$5="Metric",0.0254,1)))*IF('FMTC Main'!$E$5="Metric",0.0254,1)</f>
        <v>#DIV/0!</v>
      </c>
      <c r="N21" s="39" t="e">
        <f>(SQRT((('Tire Dynamics'!$E$9/IF('FMTC Main'!$E$5="Metric",0.0254,1))^2)-(($M21/IF('FMTC Main'!$E$5="Metric",0.0254,1))/2)^2))*IF('FMTC Main'!$E$5="Metric",0.0254,1)</f>
        <v>#DIV/0!</v>
      </c>
      <c r="O21" s="39" t="e">
        <f t="shared" si="0"/>
        <v>#DIV/0!</v>
      </c>
      <c r="P21" s="39" t="e">
        <f t="shared" si="1"/>
        <v>#DIV/0!</v>
      </c>
      <c r="Q21" s="22"/>
      <c r="R21" s="173" t="e">
        <f>('FMTC Main'!E16*(AVERAGE(P21,P28)*IF('FMTC Main'!$E$5="Metric",39.3700787,1))*60)/((Aerodynamics!E5/'Calculation Data &amp; Factors'!B11)*R19*63360)</f>
        <v>#DIV/0!</v>
      </c>
      <c r="S21" s="22"/>
      <c r="T21" s="22"/>
      <c r="U21" s="22"/>
      <c r="V21" s="22"/>
      <c r="Y21" s="196"/>
      <c r="Z21" s="197"/>
      <c r="AA21" s="199"/>
      <c r="AB21" s="198"/>
      <c r="AC21" s="49"/>
      <c r="AD21" s="196"/>
      <c r="AE21" s="198"/>
      <c r="AF21" s="199"/>
      <c r="AG21" s="198"/>
    </row>
    <row r="22" spans="2:33" ht="12.95" customHeight="1">
      <c r="B22" s="324" t="e">
        <f>((('Tire Dynamics'!$B24+'Tire Dynamics'!Q15/2)*IF('FMTC Main'!$E$5="Metric",2.2046,1))/(('Tire Dynamics'!$E$8)*IF('FMTC Main'!$E$5="Metric",14.5037738,1))/('Tire Dynamics'!$E$13/IF('FMTC Main'!$E$5="Metric",0.0254,1)))*IF('FMTC Main'!$E$5="Metric",0.0254,1)</f>
        <v>#N/A</v>
      </c>
      <c r="C22" s="325" t="e">
        <f>((('Tire Dynamics'!$H24-'Tire Dynamics'!Q15/2)*IF('FMTC Main'!$E$5="Metric",2.2046,1))/(('Tire Dynamics'!$K$8)*IF('FMTC Main'!$E$5="Metric",14.5037738,1))/('Tire Dynamics'!$K$13/IF('FMTC Main'!$E$5="Metric",0.0254,1)))*IF('FMTC Main'!$E$5="Metric",0.0254,1)</f>
        <v>#N/A</v>
      </c>
      <c r="D22" s="92"/>
      <c r="E22" s="92" t="e">
        <f>('Tire Dynamics'!B24+'Tire Dynamics'!Q15/2)/(PI()*(('Tire Dynamics'!Q46*IF('FMTC Main'!E5="Metric",0.001,1)/2)/B23)^2)</f>
        <v>#N/A</v>
      </c>
      <c r="F22" s="92" t="e">
        <f>('Tire Dynamics'!H24-'Tire Dynamics'!Q15/2)/(PI()*(('Tire Dynamics'!R46*IF('FMTC Main'!E5="Metric",0.001,1)/2)/C23)^2)</f>
        <v>#N/A</v>
      </c>
      <c r="L22" s="38" t="e">
        <f>'Tire Dynamics'!$Q$8/2+Aerodynamics!F$7/4</f>
        <v>#DIV/0!</v>
      </c>
      <c r="M22" s="39" t="e">
        <f>(($L22*IF('FMTC Main'!$E$5="Metric",2.2046,1))/('Tire Dynamics'!$E$8*IF('FMTC Main'!$E$5="Metric",14.5037738,1))/('Tire Dynamics'!$E$13/IF('FMTC Main'!$E$5="Metric",0.0254,1)))*IF('FMTC Main'!$E$5="Metric",0.0254,1)</f>
        <v>#DIV/0!</v>
      </c>
      <c r="N22" s="39" t="e">
        <f>(SQRT((('Tire Dynamics'!$E$9/IF('FMTC Main'!$E$5="Metric",0.0254,1))^2)-(($M22/IF('FMTC Main'!$E$5="Metric",0.0254,1))/2)^2))*IF('FMTC Main'!$E$5="Metric",0.0254,1)</f>
        <v>#DIV/0!</v>
      </c>
      <c r="O22" s="39" t="e">
        <f t="shared" si="0"/>
        <v>#DIV/0!</v>
      </c>
      <c r="P22" s="39" t="e">
        <f t="shared" si="1"/>
        <v>#DIV/0!</v>
      </c>
      <c r="Q22" s="22"/>
      <c r="R22" s="173" t="e">
        <f>('FMTC Main'!E16*(AVERAGE(P22,P29)*IF('FMTC Main'!$E$5="Metric",39.3700787,1))*60)/((Aerodynamics!F5/'Calculation Data &amp; Factors'!B11)*R19*63360)</f>
        <v>#DIV/0!</v>
      </c>
      <c r="S22" s="22"/>
      <c r="T22" s="22"/>
      <c r="U22" s="22"/>
      <c r="V22" s="22"/>
      <c r="Y22" s="49"/>
      <c r="Z22" s="49"/>
      <c r="AA22" s="49"/>
      <c r="AB22" s="49"/>
      <c r="AC22" s="49"/>
      <c r="AD22" s="49"/>
      <c r="AE22" s="49"/>
      <c r="AF22" s="49"/>
      <c r="AG22" s="49"/>
    </row>
    <row r="23" spans="2:33" ht="12.95" customHeight="1">
      <c r="B23" s="92" t="e">
        <f>(SQRT((('Tire Dynamics'!$E$9/IF('FMTC Main'!$E$5="Metric",0.0254,1))^2)-((B22/IF('FMTC Main'!$E$5="Metric",0.0254,1))/2)^2))*IF('FMTC Main'!$E$5="Metric",0.0254,1)</f>
        <v>#N/A</v>
      </c>
      <c r="C23" s="92" t="e">
        <f>(SQRT((('Tire Dynamics'!$K$9/IF('FMTC Main'!$E$5="Metric",0.0254,1))^2)-((C22/IF('FMTC Main'!$E$5="Metric",0.0254,1))/2)^2))*IF('FMTC Main'!$E$5="Metric",0.0254,1)</f>
        <v>#N/A</v>
      </c>
      <c r="D23" s="92"/>
      <c r="E23" s="92" t="e">
        <f>('Tire Dynamics'!B24)/(PI()*(('Tire Dynamics'!Q46*IF('FMTC Main'!E5="Metric",0.001,1)/2)/'Tire Dynamics'!D24)^2)</f>
        <v>#N/A</v>
      </c>
      <c r="F23" s="92" t="e">
        <f>('Tire Dynamics'!H24)/(PI()*(('Tire Dynamics'!R46*IF('FMTC Main'!E5="Metric",0.001,1)/2)/'Tire Dynamics'!J24)^2)</f>
        <v>#N/A</v>
      </c>
      <c r="L23" s="38" t="e">
        <f>'Tire Dynamics'!$Q$8/2+Aerodynamics!G$7/4</f>
        <v>#DIV/0!</v>
      </c>
      <c r="M23" s="39" t="e">
        <f>(($L23*IF('FMTC Main'!$E$5="Metric",2.2046,1))/('Tire Dynamics'!$E$8*IF('FMTC Main'!$E$5="Metric",14.5037738,1))/('Tire Dynamics'!$E$13/IF('FMTC Main'!$E$5="Metric",0.0254,1)))*IF('FMTC Main'!$E$5="Metric",0.0254,1)</f>
        <v>#DIV/0!</v>
      </c>
      <c r="N23" s="39" t="e">
        <f>(SQRT((('Tire Dynamics'!$E$9/IF('FMTC Main'!$E$5="Metric",0.0254,1))^2)-(($M23/IF('FMTC Main'!$E$5="Metric",0.0254,1))/2)^2))*IF('FMTC Main'!$E$5="Metric",0.0254,1)</f>
        <v>#DIV/0!</v>
      </c>
      <c r="O23" s="39" t="e">
        <f t="shared" si="0"/>
        <v>#DIV/0!</v>
      </c>
      <c r="P23" s="39" t="e">
        <f t="shared" si="1"/>
        <v>#DIV/0!</v>
      </c>
      <c r="Q23" s="22"/>
      <c r="R23" s="173" t="e">
        <f>('FMTC Main'!E16*(AVERAGE(P23,P30)*IF('FMTC Main'!$E$5="Metric",39.3700787,1))*60)/((Aerodynamics!G5/'Calculation Data &amp; Factors'!B11)*R19*63360)</f>
        <v>#DIV/0!</v>
      </c>
      <c r="S23" s="22"/>
      <c r="T23" s="22"/>
      <c r="U23" s="22"/>
      <c r="V23" s="22"/>
      <c r="Y23" s="49"/>
      <c r="Z23" s="49"/>
      <c r="AA23" s="49"/>
      <c r="AB23" s="49"/>
      <c r="AC23" s="49"/>
      <c r="AD23" s="49"/>
      <c r="AE23" s="49"/>
      <c r="AF23" s="49"/>
      <c r="AG23" s="49"/>
    </row>
    <row r="24" spans="2:33" ht="12.95" customHeight="1">
      <c r="B24" s="92"/>
      <c r="C24" s="92"/>
      <c r="D24" s="92"/>
      <c r="E24" s="92"/>
      <c r="F24" s="92"/>
      <c r="L24" s="38" t="e">
        <f>'Tire Dynamics'!$Q$8/2+Aerodynamics!H$7/4</f>
        <v>#DIV/0!</v>
      </c>
      <c r="M24" s="39" t="e">
        <f>(($L24*IF('FMTC Main'!$E$5="Metric",2.2046,1))/('Tire Dynamics'!$E$8*IF('FMTC Main'!$E$5="Metric",14.5037738,1))/('Tire Dynamics'!$E$13/IF('FMTC Main'!$E$5="Metric",0.0254,1)))*IF('FMTC Main'!$E$5="Metric",0.0254,1)</f>
        <v>#DIV/0!</v>
      </c>
      <c r="N24" s="39" t="e">
        <f>(SQRT((('Tire Dynamics'!$E$9/IF('FMTC Main'!$E$5="Metric",0.0254,1))^2)-(($M24/IF('FMTC Main'!$E$5="Metric",0.0254,1))/2)^2))*IF('FMTC Main'!$E$5="Metric",0.0254,1)</f>
        <v>#DIV/0!</v>
      </c>
      <c r="O24" s="39" t="e">
        <f t="shared" si="0"/>
        <v>#DIV/0!</v>
      </c>
      <c r="P24" s="39" t="e">
        <f t="shared" si="1"/>
        <v>#DIV/0!</v>
      </c>
      <c r="Q24" s="22"/>
      <c r="R24" s="173" t="e">
        <f>('FMTC Main'!E16*(AVERAGE(P24,P31)*IF('FMTC Main'!$E$5="Metric",39.3700787,1))*60)/((Aerodynamics!H5/'Calculation Data &amp; Factors'!B11)*R19*63360)</f>
        <v>#DIV/0!</v>
      </c>
      <c r="S24" s="22"/>
      <c r="T24" s="22"/>
      <c r="U24" s="22"/>
      <c r="V24" s="22"/>
      <c r="Y24" s="49"/>
      <c r="Z24" s="49"/>
      <c r="AA24" s="49"/>
      <c r="AB24" s="49"/>
      <c r="AC24" s="49"/>
      <c r="AD24" s="49"/>
      <c r="AE24" s="49"/>
      <c r="AF24" s="49"/>
      <c r="AG24" s="49"/>
    </row>
    <row r="25" spans="2:33" ht="12.95" customHeight="1">
      <c r="B25" s="92"/>
      <c r="C25" s="326" t="e">
        <f>E23/(E22+F22)</f>
        <v>#N/A</v>
      </c>
      <c r="D25" s="92"/>
      <c r="E25" s="326" t="e">
        <f>SUM(E22:F22)/SUM(E23:F23)</f>
        <v>#N/A</v>
      </c>
      <c r="F25" s="92"/>
      <c r="L25" s="38" t="e">
        <f>'Tire Dynamics'!$Q$8/2+Aerodynamics!I$7/4</f>
        <v>#DIV/0!</v>
      </c>
      <c r="M25" s="39" t="e">
        <f>(($L25*IF('FMTC Main'!$E$5="Metric",2.2046,1))/('Tire Dynamics'!$E$8*IF('FMTC Main'!$E$5="Metric",14.5037738,1))/('Tire Dynamics'!$E$13/IF('FMTC Main'!$E$5="Metric",0.0254,1)))*IF('FMTC Main'!$E$5="Metric",0.0254,1)</f>
        <v>#DIV/0!</v>
      </c>
      <c r="N25" s="39" t="e">
        <f>(SQRT((('Tire Dynamics'!$E$9/IF('FMTC Main'!$E$5="Metric",0.0254,1))^2)-(($M25/IF('FMTC Main'!$E$5="Metric",0.0254,1))/2)^2))*IF('FMTC Main'!$E$5="Metric",0.0254,1)</f>
        <v>#DIV/0!</v>
      </c>
      <c r="O25" s="39" t="e">
        <f t="shared" si="0"/>
        <v>#DIV/0!</v>
      </c>
      <c r="P25" s="39" t="e">
        <f t="shared" si="1"/>
        <v>#DIV/0!</v>
      </c>
      <c r="Q25" s="22"/>
      <c r="R25" s="173" t="e">
        <f>('FMTC Main'!E16*(AVERAGE(P25,P32)*IF('FMTC Main'!$E$5="Metric",39.3700787,1))*60)/((Aerodynamics!I5/'Calculation Data &amp; Factors'!B11)*R19*63360)</f>
        <v>#DIV/0!</v>
      </c>
      <c r="S25" s="22"/>
      <c r="T25" s="22"/>
      <c r="U25" s="22"/>
      <c r="V25" s="22"/>
      <c r="Y25" s="49"/>
      <c r="Z25" s="49"/>
      <c r="AA25" s="49"/>
      <c r="AB25" s="49"/>
      <c r="AC25" s="49"/>
      <c r="AD25" s="49"/>
      <c r="AE25" s="49"/>
      <c r="AF25" s="49"/>
      <c r="AG25" s="49"/>
    </row>
    <row r="26" spans="2:33" ht="12.95" customHeight="1"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Y26" s="49"/>
      <c r="Z26" s="49"/>
      <c r="AA26" s="49"/>
      <c r="AB26" s="49"/>
      <c r="AC26" s="49"/>
      <c r="AD26" s="49"/>
      <c r="AE26" s="49"/>
      <c r="AF26" s="49"/>
      <c r="AG26" s="49"/>
    </row>
    <row r="27" spans="2:33" ht="12.95" customHeight="1">
      <c r="C27" s="347"/>
      <c r="D27" s="356"/>
      <c r="E27" s="355"/>
      <c r="F27" s="355" t="e">
        <f>MROUND(((('Tire Dynamics'!Q8+'Tire Dynamics'!Q15)/2)+('Tire Dynamics'!Q10*((('Tire Dynamics'!Q8+'Tire Dynamics'!Q15)/2)/'Calculation Data &amp; Factors'!A12)*('Calculation Data &amp; Factors'!A18)/('Tire Dynamics'!Q45*IF('FMTC Main'!E5="Metric",1,25.4))*'Calculation Data &amp; Factors'!A12))/(((('Tire Dynamics'!Q8+'Tire Dynamics'!Q15)/2)+('Tire Dynamics'!Q10*((('Tire Dynamics'!Q8+'Tire Dynamics'!Q15)/2)/'Calculation Data &amp; Factors'!A12)*('Calculation Data &amp; Factors'!A18)/('Tire Dynamics'!Q45*IF('FMTC Main'!E5="Metric",1,25.4))*'Calculation Data &amp; Factors'!A12))+((('Tire Dynamics'!R8-'Tire Dynamics'!Q15)/2)+('Tire Dynamics'!Q10*((('Tire Dynamics'!R8-'Tire Dynamics'!Q15)/2)/'Calculation Data &amp; Factors'!A12)*('Calculation Data &amp; Factors'!A18)/('Tire Dynamics'!R45*IF('FMTC Main'!E5="Metric",1,25.4))*'Calculation Data &amp; Factors'!A12))),0.001)</f>
        <v>#N/A</v>
      </c>
      <c r="L27" s="38" t="e">
        <f>'Tire Dynamics'!$R$8/2+Aerodynamics!D$7/4</f>
        <v>#DIV/0!</v>
      </c>
      <c r="M27" s="39" t="e">
        <f>(($L27*IF('FMTC Main'!$E$5="Metric",2.2046,1))/('Tire Dynamics'!$K$8*IF('FMTC Main'!$E$5="Metric",14.5037738,1))/('Tire Dynamics'!$K$13/IF('FMTC Main'!$E$5="Metric",0.0254,1)))*IF('FMTC Main'!$E$5="Metric",0.0254,1)</f>
        <v>#DIV/0!</v>
      </c>
      <c r="N27" s="39" t="e">
        <f>(SQRT((('Tire Dynamics'!$K$9/IF('FMTC Main'!$E$5="Metric",0.0254,1))^2)-(($M27/IF('FMTC Main'!$E$5="Metric",0.0254,1))/2)^2))*IF('FMTC Main'!$E$5="Metric",0.0254,1)</f>
        <v>#DIV/0!</v>
      </c>
      <c r="O27" s="39" t="e">
        <f t="shared" ref="O27:O32" si="2">N27*2</f>
        <v>#DIV/0!</v>
      </c>
      <c r="P27" s="39" t="e">
        <f t="shared" ref="P27:P32" si="3">O27*PI()</f>
        <v>#DIV/0!</v>
      </c>
      <c r="Q27" s="22"/>
      <c r="R27" s="38" t="e">
        <f>'Tire Dynamics'!$Q$8/2+(((1/2)*'Calculation Data &amp; Factors'!$A$33*(Transmission!AH33*IF('FMTC Main'!$E$5="Metric",0.2778,0.4469))^2*Aerodynamics!$N$12)*IF('FMTC Main'!$E$5="Metric",0.10197,0.22481))/4</f>
        <v>#DIV/0!</v>
      </c>
      <c r="S27" s="39" t="e">
        <f>((R27*IF('FMTC Main'!$E$5="Metric",2.2046,1))/('Tire Dynamics'!$E$8*IF('FMTC Main'!$E$5="Metric",14.5037738,1))/('Tire Dynamics'!$E$13/IF('FMTC Main'!$E$5="Metric",0.0254,1)))*IF('FMTC Main'!$E$5="Metric",0.0254,1)</f>
        <v>#DIV/0!</v>
      </c>
      <c r="T27" s="39" t="e">
        <f>(SQRT((('Tire Dynamics'!$E$9/IF('FMTC Main'!$E$5="Metric",0.0254,1))^2)-((S27/IF('FMTC Main'!$E$5="Metric",0.0254,1))/2)^2))*IF('FMTC Main'!$E$5="Metric",0.0254,1)</f>
        <v>#DIV/0!</v>
      </c>
      <c r="U27" s="39" t="e">
        <f>T27*2</f>
        <v>#DIV/0!</v>
      </c>
      <c r="V27" s="39" t="e">
        <f>U27*PI()</f>
        <v>#DIV/0!</v>
      </c>
      <c r="Y27" s="49"/>
      <c r="Z27" s="49"/>
      <c r="AA27" s="49"/>
      <c r="AB27" s="49"/>
      <c r="AC27" s="49"/>
      <c r="AD27" s="49"/>
      <c r="AE27" s="49"/>
      <c r="AF27" s="49"/>
      <c r="AG27" s="49"/>
    </row>
    <row r="28" spans="2:33" ht="12.95" customHeight="1">
      <c r="L28" s="38" t="e">
        <f>'Tire Dynamics'!$R$8/2+Aerodynamics!E$7/4</f>
        <v>#DIV/0!</v>
      </c>
      <c r="M28" s="39" t="e">
        <f>(($L28*IF('FMTC Main'!$E$5="Metric",2.2046,1))/('Tire Dynamics'!$K$8*IF('FMTC Main'!$E$5="Metric",14.5037738,1))/('Tire Dynamics'!$K$13/IF('FMTC Main'!$E$5="Metric",0.0254,1)))*IF('FMTC Main'!$E$5="Metric",0.0254,1)</f>
        <v>#DIV/0!</v>
      </c>
      <c r="N28" s="39" t="e">
        <f>(SQRT((('Tire Dynamics'!$K$9/IF('FMTC Main'!$E$5="Metric",0.0254,1))^2)-(($M28/IF('FMTC Main'!$E$5="Metric",0.0254,1))/2)^2))*IF('FMTC Main'!$E$5="Metric",0.0254,1)</f>
        <v>#DIV/0!</v>
      </c>
      <c r="O28" s="39" t="e">
        <f t="shared" si="2"/>
        <v>#DIV/0!</v>
      </c>
      <c r="P28" s="39" t="e">
        <f t="shared" si="3"/>
        <v>#DIV/0!</v>
      </c>
      <c r="Q28" s="22"/>
      <c r="R28" s="38" t="e">
        <f>'Tire Dynamics'!$R$8/2+(((1/2)*'Calculation Data &amp; Factors'!$A$33*(Transmission!AH33*IF('FMTC Main'!$E$5="Metric",0.2778,0.4469))^2*Aerodynamics!$N$12)*IF('FMTC Main'!$E$5="Metric",0.10197,0.22481))/4</f>
        <v>#DIV/0!</v>
      </c>
      <c r="S28" s="39" t="e">
        <f>((R28*IF('FMTC Main'!$E$5="Metric",2.2046,1))/('Tire Dynamics'!$K$8*IF('FMTC Main'!$E$5="Metric",14.5037738,1))/('Tire Dynamics'!$K$13/IF('FMTC Main'!$E$5="Metric",0.0254,1)))*IF('FMTC Main'!$E$5="Metric",0.0254,1)</f>
        <v>#DIV/0!</v>
      </c>
      <c r="T28" s="39" t="e">
        <f>(SQRT((('Tire Dynamics'!$K$9/IF('FMTC Main'!$E$5="Metric",0.0254,1))^2)-((S28/IF('FMTC Main'!$E$5="Metric",0.0254,1))/2)^2))*IF('FMTC Main'!$E$5="Metric",0.0254,1)</f>
        <v>#DIV/0!</v>
      </c>
      <c r="U28" s="39" t="e">
        <f>T28*2</f>
        <v>#DIV/0!</v>
      </c>
      <c r="V28" s="39" t="e">
        <f>U28*PI()</f>
        <v>#DIV/0!</v>
      </c>
      <c r="Y28" s="49"/>
      <c r="Z28" s="49"/>
      <c r="AA28" s="49"/>
      <c r="AB28" s="49"/>
      <c r="AC28" s="49"/>
      <c r="AD28" s="49"/>
      <c r="AE28" s="49"/>
      <c r="AF28" s="49"/>
      <c r="AG28" s="49"/>
    </row>
    <row r="29" spans="2:33" ht="12.95" customHeight="1">
      <c r="L29" s="38" t="e">
        <f>'Tire Dynamics'!$R$8/2+Aerodynamics!F$7/4</f>
        <v>#DIV/0!</v>
      </c>
      <c r="M29" s="39" t="e">
        <f>(($L29*IF('FMTC Main'!$E$5="Metric",2.2046,1))/('Tire Dynamics'!$K$8*IF('FMTC Main'!$E$5="Metric",14.5037738,1))/('Tire Dynamics'!$K$13/IF('FMTC Main'!$E$5="Metric",0.0254,1)))*IF('FMTC Main'!$E$5="Metric",0.0254,1)</f>
        <v>#DIV/0!</v>
      </c>
      <c r="N29" s="39" t="e">
        <f>(SQRT((('Tire Dynamics'!$K$9/IF('FMTC Main'!$E$5="Metric",0.0254,1))^2)-(($M29/IF('FMTC Main'!$E$5="Metric",0.0254,1))/2)^2))*IF('FMTC Main'!$E$5="Metric",0.0254,1)</f>
        <v>#DIV/0!</v>
      </c>
      <c r="O29" s="39" t="e">
        <f t="shared" si="2"/>
        <v>#DIV/0!</v>
      </c>
      <c r="P29" s="39" t="e">
        <f t="shared" si="3"/>
        <v>#DIV/0!</v>
      </c>
      <c r="Q29" s="22"/>
      <c r="R29" s="22"/>
      <c r="S29" s="22"/>
      <c r="T29" s="22"/>
      <c r="U29" s="22"/>
      <c r="V29" s="22"/>
      <c r="Y29" s="49"/>
      <c r="Z29" s="49"/>
      <c r="AA29" s="49"/>
      <c r="AB29" s="49"/>
      <c r="AC29" s="49"/>
      <c r="AD29" s="49"/>
      <c r="AE29" s="49"/>
      <c r="AF29" s="49"/>
      <c r="AG29" s="49"/>
    </row>
    <row r="30" spans="2:33" ht="12.95" customHeight="1">
      <c r="L30" s="38" t="e">
        <f>'Tire Dynamics'!$R$8/2+Aerodynamics!G$7/4</f>
        <v>#DIV/0!</v>
      </c>
      <c r="M30" s="39" t="e">
        <f>(($L30*IF('FMTC Main'!$E$5="Metric",2.2046,1))/('Tire Dynamics'!$K$8*IF('FMTC Main'!$E$5="Metric",14.5037738,1))/('Tire Dynamics'!$K$13/IF('FMTC Main'!$E$5="Metric",0.0254,1)))*IF('FMTC Main'!$E$5="Metric",0.0254,1)</f>
        <v>#DIV/0!</v>
      </c>
      <c r="N30" s="39" t="e">
        <f>(SQRT((('Tire Dynamics'!$K$9/IF('FMTC Main'!$E$5="Metric",0.0254,1))^2)-(($M30/IF('FMTC Main'!$E$5="Metric",0.0254,1))/2)^2))*IF('FMTC Main'!$E$5="Metric",0.0254,1)</f>
        <v>#DIV/0!</v>
      </c>
      <c r="O30" s="39" t="e">
        <f t="shared" si="2"/>
        <v>#DIV/0!</v>
      </c>
      <c r="P30" s="39" t="e">
        <f t="shared" si="3"/>
        <v>#DIV/0!</v>
      </c>
      <c r="Q30" s="22"/>
      <c r="R30" s="22"/>
      <c r="S30" s="22"/>
      <c r="T30" s="22"/>
      <c r="U30" s="22"/>
      <c r="V30" s="22"/>
      <c r="Y30" s="49"/>
      <c r="Z30" s="49"/>
      <c r="AA30" s="49"/>
      <c r="AB30" s="49"/>
      <c r="AC30" s="49"/>
      <c r="AD30" s="49"/>
      <c r="AE30" s="49"/>
      <c r="AF30" s="49"/>
      <c r="AG30" s="49"/>
    </row>
    <row r="31" spans="2:33" ht="12.95" customHeight="1">
      <c r="D31" s="327" t="s">
        <v>1121</v>
      </c>
      <c r="E31" s="317">
        <f>'Tire Dynamics'!Q7</f>
        <v>0</v>
      </c>
      <c r="F31" s="317">
        <f>'Tire Dynamics'!R7</f>
        <v>1</v>
      </c>
      <c r="L31" s="38" t="e">
        <f>'Tire Dynamics'!$R$8/2+Aerodynamics!H$7/4</f>
        <v>#DIV/0!</v>
      </c>
      <c r="M31" s="39" t="e">
        <f>(($L31*IF('FMTC Main'!$E$5="Metric",2.2046,1))/('Tire Dynamics'!$K$8*IF('FMTC Main'!$E$5="Metric",14.5037738,1))/('Tire Dynamics'!$K$13/IF('FMTC Main'!$E$5="Metric",0.0254,1)))*IF('FMTC Main'!$E$5="Metric",0.0254,1)</f>
        <v>#DIV/0!</v>
      </c>
      <c r="N31" s="39" t="e">
        <f>(SQRT((('Tire Dynamics'!$K$9/IF('FMTC Main'!$E$5="Metric",0.0254,1))^2)-(($M31/IF('FMTC Main'!$E$5="Metric",0.0254,1))/2)^2))*IF('FMTC Main'!$E$5="Metric",0.0254,1)</f>
        <v>#DIV/0!</v>
      </c>
      <c r="O31" s="39" t="e">
        <f t="shared" si="2"/>
        <v>#DIV/0!</v>
      </c>
      <c r="P31" s="39" t="e">
        <f t="shared" si="3"/>
        <v>#DIV/0!</v>
      </c>
      <c r="Q31" s="22"/>
      <c r="R31" s="22"/>
      <c r="S31" s="22"/>
      <c r="T31" s="22"/>
      <c r="U31" s="22"/>
      <c r="V31" s="22"/>
      <c r="Y31" s="49"/>
      <c r="Z31" s="49"/>
      <c r="AA31" s="49"/>
      <c r="AB31" s="49"/>
      <c r="AC31" s="49"/>
      <c r="AD31" s="49"/>
      <c r="AE31" s="49"/>
      <c r="AF31" s="49"/>
      <c r="AG31" s="49"/>
    </row>
    <row r="32" spans="2:33" ht="12.95" customHeight="1">
      <c r="D32" s="327" t="s">
        <v>1122</v>
      </c>
      <c r="E32" s="715" t="e">
        <f>('Tire Dynamics'!Q12*IF('FMTC Main'!E5="Metric",0.001,0.0254))/('Tire Dynamics'!Q44*IF('FMTC Main'!E5="Metric",0.001,0.0254))</f>
        <v>#N/A</v>
      </c>
      <c r="F32" s="715"/>
      <c r="L32" s="38" t="e">
        <f>'Tire Dynamics'!$R$8/2+Aerodynamics!I$7/4</f>
        <v>#DIV/0!</v>
      </c>
      <c r="M32" s="39" t="e">
        <f>(($L32*IF('FMTC Main'!$E$5="Metric",2.2046,1))/('Tire Dynamics'!$K$8*IF('FMTC Main'!$E$5="Metric",14.5037738,1))/('Tire Dynamics'!$K$13/IF('FMTC Main'!$E$5="Metric",0.0254,1)))*IF('FMTC Main'!$E$5="Metric",0.0254,1)</f>
        <v>#DIV/0!</v>
      </c>
      <c r="N32" s="39" t="e">
        <f>(SQRT((('Tire Dynamics'!$K$9/IF('FMTC Main'!$E$5="Metric",0.0254,1))^2)-(($M32/IF('FMTC Main'!$E$5="Metric",0.0254,1))/2)^2))*IF('FMTC Main'!$E$5="Metric",0.0254,1)</f>
        <v>#DIV/0!</v>
      </c>
      <c r="O32" s="39" t="e">
        <f t="shared" si="2"/>
        <v>#DIV/0!</v>
      </c>
      <c r="P32" s="39" t="e">
        <f t="shared" si="3"/>
        <v>#DIV/0!</v>
      </c>
      <c r="Q32" s="22"/>
      <c r="R32" s="22"/>
      <c r="S32" s="22"/>
      <c r="T32" s="22"/>
      <c r="U32" s="22"/>
      <c r="V32" s="22"/>
      <c r="Y32" s="49"/>
      <c r="Z32" s="49"/>
      <c r="AA32" s="49"/>
      <c r="AB32" s="49"/>
      <c r="AC32" s="49"/>
      <c r="AD32" s="49"/>
      <c r="AE32" s="49"/>
      <c r="AF32" s="49"/>
      <c r="AG32" s="49"/>
    </row>
    <row r="33" spans="4:33" ht="12.95" customHeight="1">
      <c r="D33" s="327" t="s">
        <v>1123</v>
      </c>
      <c r="E33" s="318" t="e">
        <f>(E31+(E32*'Tire Dynamics'!Q10))*('Tire Dynamics'!Q6/'Calculation Data &amp; Factors'!A12)</f>
        <v>#N/A</v>
      </c>
      <c r="F33" s="318" t="e">
        <f>(F31+(E32*'Tire Dynamics'!Q10))*('Tire Dynamics'!Q6/'Calculation Data &amp; Factors'!A12)</f>
        <v>#N/A</v>
      </c>
      <c r="H33" s="431">
        <f>(E31)*('Tire Dynamics'!Q6/'Calculation Data &amp; Factors'!A12)</f>
        <v>0</v>
      </c>
      <c r="I33" s="431">
        <f>(F31)*('Tire Dynamics'!Q6/'Calculation Data &amp; Factors'!A12)</f>
        <v>0</v>
      </c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Y33" s="49"/>
      <c r="Z33" s="49"/>
      <c r="AA33" s="49"/>
      <c r="AB33" s="49"/>
      <c r="AC33" s="49"/>
      <c r="AD33" s="49"/>
      <c r="AE33" s="49"/>
      <c r="AF33" s="49"/>
      <c r="AG33" s="49"/>
    </row>
    <row r="34" spans="4:33" ht="12.95" customHeight="1">
      <c r="D34" s="327" t="s">
        <v>1124</v>
      </c>
      <c r="E34" s="717">
        <f>('Tire Dynamics'!Q6/'Calculation Data &amp; Factors'!A12)*'Tire Dynamics'!Q10*'Calculation Data &amp; Factors'!A31</f>
        <v>0</v>
      </c>
      <c r="F34" s="717"/>
      <c r="H34" s="710">
        <f>('Tire Dynamics'!Q6/'Calculation Data &amp; Factors'!A12)*'Tire Dynamics'!Q10*'Calculation Data &amp; Factors'!A31</f>
        <v>0</v>
      </c>
      <c r="I34" s="710"/>
      <c r="Y34" s="49"/>
      <c r="Z34" s="49"/>
      <c r="AA34" s="49"/>
      <c r="AB34" s="49"/>
      <c r="AC34" s="49"/>
      <c r="AD34" s="49"/>
      <c r="AE34" s="49"/>
      <c r="AF34" s="49"/>
      <c r="AG34" s="49"/>
    </row>
    <row r="35" spans="4:33" ht="12.95" customHeight="1">
      <c r="D35" s="327" t="s">
        <v>1125</v>
      </c>
      <c r="E35" s="318" t="e">
        <f>E33*'Calculation Data &amp; Factors'!A31*0.3</f>
        <v>#N/A</v>
      </c>
      <c r="F35" s="318" t="e">
        <f>F33*'Calculation Data &amp; Factors'!A31*0.3</f>
        <v>#N/A</v>
      </c>
      <c r="H35" s="431">
        <f>H33*'Calculation Data &amp; Factors'!A31*0.3</f>
        <v>0</v>
      </c>
      <c r="I35" s="431">
        <f>I33*'Calculation Data &amp; Factors'!A31*0.3</f>
        <v>0</v>
      </c>
      <c r="L35" s="3"/>
      <c r="M35" s="3"/>
      <c r="N35" s="3"/>
      <c r="O35" s="3"/>
      <c r="P35" s="90"/>
      <c r="Q35" s="113"/>
      <c r="R35" s="3"/>
      <c r="S35" s="3"/>
      <c r="T35" s="3"/>
      <c r="Y35" s="49"/>
      <c r="Z35" s="49"/>
      <c r="AA35" s="49"/>
      <c r="AB35" s="49"/>
      <c r="AC35" s="49"/>
      <c r="AD35" s="49"/>
      <c r="AE35" s="49"/>
      <c r="AF35" s="49"/>
      <c r="AG35" s="49"/>
    </row>
    <row r="36" spans="4:33" ht="12.95" customHeight="1">
      <c r="D36" s="327" t="s">
        <v>1117</v>
      </c>
      <c r="E36" s="430" t="e">
        <f>E34*(E33/(E33+F33))*(((SQRT((('Tire Dynamics'!$E$9/IF('FMTC Main'!$E$5="Metric",0.0254,1))^2)-(((((E33*IF('FMTC Main'!$E$5="Metric",2.2046,1))/(('Tire Dynamics'!$E$8)*IF('FMTC Main'!$E$5="Metric",14.5037738,1))/('Tire Dynamics'!$E$13/IF('FMTC Main'!$E$5="Metric",0.0254,1)))*IF('FMTC Main'!$E$5="Metric",0.0254,1))/IF('FMTC Main'!$E$5="Metric",0.0254,1))/2)^2))*IF('FMTC Main'!$E$5="Metric",0.0254,1))*'Calculation Data &amp; Factors'!C12)</f>
        <v>#N/A</v>
      </c>
      <c r="F36" s="430" t="e">
        <f>E34*(F33/(E33+F33))*(((SQRT((('Tire Dynamics'!$K$9/IF('FMTC Main'!$E$5="Metric",0.0254,1))^2)-(((((Graveyard!F33*IF('FMTC Main'!$E$5="Metric",2.2046,1))/(('Tire Dynamics'!$K$8)*IF('FMTC Main'!$E$5="Metric",14.5037738,1))/('Tire Dynamics'!$K$13/IF('FMTC Main'!$E$5="Metric",0.0254,1)))*IF('FMTC Main'!$E$5="Metric",0.0254,1))/IF('FMTC Main'!$E$5="Metric",0.0254,1))/2)^2))*IF('FMTC Main'!$E$5="Metric",0.0254,1))*'Calculation Data &amp; Factors'!C12)</f>
        <v>#N/A</v>
      </c>
      <c r="H36" s="49" t="e">
        <f>H34*(H33/(H33+I33))*(((SQRT((('Tire Dynamics'!$E$9/IF('FMTC Main'!$E$5="Metric",0.0254,1))^2)-(((((H33*IF('FMTC Main'!$E$5="Metric",2.2046,1))/(('Tire Dynamics'!$E$8)*IF('FMTC Main'!$E$5="Metric",14.5037738,1))/('Tire Dynamics'!$E$13/IF('FMTC Main'!$E$5="Metric",0.0254,1)))*IF('FMTC Main'!$E$5="Metric",0.0254,1))/IF('FMTC Main'!$E$5="Metric",0.0254,1))/2)^2))*IF('FMTC Main'!$E$5="Metric",0.0254,1))*'Calculation Data &amp; Factors'!C12)</f>
        <v>#DIV/0!</v>
      </c>
      <c r="I36" s="431" t="e">
        <f>H34*(I33/(H33+I33))*(((SQRT((('Tire Dynamics'!$K$9/IF('FMTC Main'!$E$5="Metric",0.0254,1))^2)-(((((I33*IF('FMTC Main'!$E$5="Metric",2.2046,1))/(('Tire Dynamics'!$K$8)*IF('FMTC Main'!$E$5="Metric",14.5037738,1))/('Tire Dynamics'!$K$13/IF('FMTC Main'!$E$5="Metric",0.0254,1)))*IF('FMTC Main'!$E$5="Metric",0.0254,1))/IF('FMTC Main'!$E$5="Metric",0.0254,1))/2)^2))*IF('FMTC Main'!$E$5="Metric",0.0254,1))*'Calculation Data &amp; Factors'!C12)</f>
        <v>#DIV/0!</v>
      </c>
      <c r="L36" s="3"/>
      <c r="M36" s="25" t="s">
        <v>739</v>
      </c>
      <c r="N36" s="3"/>
      <c r="O36" s="3"/>
      <c r="P36" s="3"/>
      <c r="Q36" s="26"/>
      <c r="R36" s="329"/>
      <c r="S36" s="3"/>
      <c r="T36" s="3"/>
      <c r="Y36" s="49"/>
      <c r="Z36" s="49"/>
      <c r="AA36" s="49"/>
      <c r="AB36" s="49"/>
      <c r="AC36" s="49"/>
      <c r="AD36" s="49"/>
      <c r="AE36" s="49"/>
      <c r="AF36" s="49"/>
      <c r="AG36" s="49"/>
    </row>
    <row r="37" spans="4:33" ht="12.95" customHeight="1">
      <c r="D37" s="327" t="s">
        <v>1126</v>
      </c>
      <c r="E37" s="328" t="e">
        <f>('Tire Dynamics'!Q46*IF('FMTC Main'!E5="Metric",0.001,0.0254))/2</f>
        <v>#N/A</v>
      </c>
      <c r="F37" s="328" t="e">
        <f>('Tire Dynamics'!R46*IF('FMTC Main'!E5="Metric",0.001,0.0254))/2</f>
        <v>#N/A</v>
      </c>
      <c r="H37" s="431" t="e">
        <f>('Tire Dynamics'!Q46*IF('FMTC Main'!E5="Metric",0.001,0.0254))/2</f>
        <v>#N/A</v>
      </c>
      <c r="I37" s="431" t="e">
        <f>('Tire Dynamics'!R46*IF('FMTC Main'!E5="Metric",0.001,0.0254))/2</f>
        <v>#N/A</v>
      </c>
      <c r="L37" s="49"/>
      <c r="M37" s="171">
        <f>0.7853982*(90.17)^2*(105.66)*8*0.000001</f>
        <v>5.397773219738963</v>
      </c>
      <c r="N37" s="25"/>
      <c r="O37" s="3"/>
      <c r="P37" s="3"/>
      <c r="Q37" s="3"/>
      <c r="R37" s="3"/>
      <c r="S37" s="13"/>
      <c r="T37" s="3"/>
      <c r="Y37" s="49"/>
      <c r="Z37" s="49"/>
      <c r="AA37" s="49"/>
      <c r="AB37" s="49"/>
      <c r="AC37" s="49"/>
      <c r="AD37" s="49"/>
      <c r="AE37" s="49"/>
      <c r="AF37" s="49"/>
      <c r="AG37" s="49"/>
    </row>
    <row r="38" spans="4:33" ht="12.95" customHeight="1">
      <c r="D38" s="327" t="s">
        <v>1127</v>
      </c>
      <c r="E38" s="430" t="e">
        <f>E36/E37</f>
        <v>#N/A</v>
      </c>
      <c r="F38" s="430" t="e">
        <f>F36/F37</f>
        <v>#N/A</v>
      </c>
      <c r="H38" s="431" t="e">
        <f>H36/H37</f>
        <v>#DIV/0!</v>
      </c>
      <c r="I38" s="431" t="e">
        <f>I36/I37</f>
        <v>#DIV/0!</v>
      </c>
      <c r="L38" s="3"/>
      <c r="M38" s="25"/>
      <c r="N38" s="25"/>
      <c r="O38" s="3"/>
      <c r="P38" s="3"/>
      <c r="Q38" s="49"/>
      <c r="R38" s="3" t="s">
        <v>740</v>
      </c>
      <c r="S38" s="13"/>
      <c r="T38" s="3"/>
      <c r="Y38" s="49"/>
      <c r="Z38" s="49"/>
      <c r="AA38" s="49"/>
      <c r="AB38" s="49"/>
      <c r="AC38" s="49"/>
      <c r="AD38" s="49"/>
      <c r="AE38" s="49"/>
      <c r="AF38" s="49"/>
      <c r="AG38" s="49"/>
    </row>
    <row r="39" spans="4:33" ht="12.95" customHeight="1">
      <c r="D39" s="327" t="s">
        <v>1128</v>
      </c>
      <c r="E39" s="426" t="e">
        <f>E38/(PI()*E37^2)</f>
        <v>#N/A</v>
      </c>
      <c r="F39" s="426" t="e">
        <f>F38/(PI()*F37^2)</f>
        <v>#N/A</v>
      </c>
      <c r="H39" s="431" t="e">
        <f>H38/(PI()*H37^2)</f>
        <v>#DIV/0!</v>
      </c>
      <c r="I39" s="431" t="e">
        <f>I38/(PI()*I37^2)</f>
        <v>#DIV/0!</v>
      </c>
      <c r="L39" s="3"/>
      <c r="M39" s="171"/>
      <c r="N39" s="25"/>
      <c r="O39" s="3"/>
      <c r="P39" s="3"/>
      <c r="Q39" s="3"/>
      <c r="R39" s="3">
        <f>PI()/4*90.17^2*105.66*0.000001</f>
        <v>0.67472162102276789</v>
      </c>
      <c r="S39" s="13"/>
      <c r="T39" s="3"/>
      <c r="Y39" s="49"/>
      <c r="Z39" s="49"/>
      <c r="AA39" s="49"/>
      <c r="AB39" s="49"/>
      <c r="AC39" s="49"/>
      <c r="AD39" s="49"/>
      <c r="AE39" s="49"/>
      <c r="AF39" s="49"/>
      <c r="AG39" s="49"/>
    </row>
    <row r="40" spans="4:33" ht="12.95" customHeight="1">
      <c r="D40" s="327" t="s">
        <v>1115</v>
      </c>
      <c r="E40" s="716" t="e">
        <f>E39/(E39+F39)</f>
        <v>#N/A</v>
      </c>
      <c r="F40" s="716"/>
      <c r="L40" s="3"/>
      <c r="M40" s="3"/>
      <c r="N40" s="25"/>
      <c r="O40" s="25"/>
      <c r="P40" s="3"/>
      <c r="Q40" s="3"/>
      <c r="R40" s="3"/>
      <c r="S40" s="3"/>
      <c r="T40" s="13"/>
      <c r="Y40" s="49"/>
      <c r="Z40" s="49"/>
      <c r="AA40" s="49"/>
      <c r="AB40" s="49"/>
      <c r="AC40" s="49"/>
      <c r="AD40" s="49"/>
      <c r="AE40" s="49"/>
      <c r="AF40" s="49"/>
      <c r="AG40" s="49"/>
    </row>
    <row r="41" spans="4:33" ht="12.95" customHeight="1">
      <c r="D41" s="327" t="s">
        <v>1116</v>
      </c>
      <c r="E41" s="716" t="e">
        <f>SUM(E39:F39)/SUM(H39:I39)</f>
        <v>#N/A</v>
      </c>
      <c r="F41" s="716"/>
      <c r="L41" s="481" t="s">
        <v>646</v>
      </c>
      <c r="M41" s="484"/>
      <c r="N41" s="484"/>
      <c r="O41" s="706" t="e">
        <f>1-(AVERAGE(Aerodynamics!D6:I6)/AVERAGE(Aerodynamics!D7:I7))</f>
        <v>#DIV/0!</v>
      </c>
      <c r="P41" s="706"/>
      <c r="Y41" s="49"/>
      <c r="Z41" s="49"/>
      <c r="AA41" s="49"/>
      <c r="AB41" s="49"/>
      <c r="AF41" s="49"/>
      <c r="AG41" s="49"/>
    </row>
    <row r="42" spans="4:33" ht="12.95" customHeight="1">
      <c r="L42" s="22"/>
      <c r="M42" s="22"/>
      <c r="N42" s="22"/>
      <c r="O42" s="22"/>
      <c r="P42" s="22"/>
      <c r="Y42" s="49"/>
      <c r="Z42" s="49"/>
      <c r="AA42" s="49"/>
      <c r="AB42" s="49"/>
      <c r="AC42" s="49"/>
      <c r="AD42" s="49"/>
      <c r="AE42" s="49"/>
      <c r="AF42" s="49"/>
      <c r="AG42" s="49"/>
    </row>
    <row r="43" spans="4:33" ht="12.95" customHeight="1">
      <c r="Y43" s="49"/>
      <c r="Z43" s="49"/>
      <c r="AA43" s="49"/>
      <c r="AB43" s="49"/>
      <c r="AC43" s="49"/>
      <c r="AD43" s="49"/>
      <c r="AE43" s="49"/>
      <c r="AF43" s="49"/>
      <c r="AG43" s="49"/>
    </row>
    <row r="44" spans="4:33" ht="12.95" customHeight="1">
      <c r="Y44" s="49"/>
      <c r="Z44" s="49"/>
      <c r="AA44" s="49"/>
      <c r="AB44" s="49"/>
      <c r="AC44" s="49"/>
      <c r="AD44" s="49"/>
      <c r="AE44" s="49"/>
      <c r="AF44" s="49"/>
      <c r="AG44" s="49"/>
    </row>
    <row r="45" spans="4:33" ht="12.95" customHeight="1">
      <c r="Y45" s="49"/>
      <c r="Z45" s="49"/>
      <c r="AA45" s="49"/>
      <c r="AB45" s="49"/>
      <c r="AC45" s="49"/>
      <c r="AD45" s="49"/>
      <c r="AE45" s="49"/>
      <c r="AF45" s="49"/>
      <c r="AG45" s="49"/>
    </row>
    <row r="46" spans="4:33" ht="12.95" customHeight="1">
      <c r="Y46" s="49"/>
      <c r="Z46" s="49"/>
      <c r="AA46" s="49"/>
      <c r="AB46" s="49"/>
      <c r="AC46" s="49"/>
      <c r="AD46" s="49"/>
      <c r="AE46" s="49"/>
      <c r="AF46" s="49"/>
      <c r="AG46" s="49"/>
    </row>
    <row r="47" spans="4:33" ht="12.95" customHeight="1">
      <c r="Y47" s="49"/>
      <c r="Z47" s="49"/>
      <c r="AA47" s="49"/>
      <c r="AB47" s="49"/>
      <c r="AC47" s="49"/>
      <c r="AD47" s="49"/>
      <c r="AE47" s="49"/>
      <c r="AF47" s="49"/>
      <c r="AG47" s="49"/>
    </row>
    <row r="48" spans="4:33" ht="12.95" customHeight="1">
      <c r="Y48" s="49"/>
      <c r="Z48" s="49"/>
      <c r="AA48" s="49"/>
      <c r="AB48" s="49"/>
      <c r="AC48" s="49"/>
      <c r="AD48" s="49"/>
      <c r="AE48" s="49"/>
      <c r="AF48" s="49"/>
      <c r="AG48" s="49"/>
    </row>
    <row r="49" spans="9:33" ht="12.95" customHeight="1">
      <c r="Y49" s="49"/>
      <c r="Z49" s="49"/>
      <c r="AA49" s="49"/>
      <c r="AB49" s="49"/>
      <c r="AC49" s="49"/>
      <c r="AD49" s="49"/>
      <c r="AE49" s="49"/>
      <c r="AF49" s="49"/>
      <c r="AG49" s="49"/>
    </row>
    <row r="50" spans="9:33" ht="12.95" customHeight="1">
      <c r="Y50" s="49"/>
      <c r="Z50" s="49"/>
      <c r="AA50" s="49"/>
      <c r="AB50" s="49"/>
      <c r="AC50" s="49"/>
      <c r="AD50" s="49"/>
      <c r="AE50" s="49"/>
      <c r="AF50" s="49"/>
      <c r="AG50" s="49"/>
    </row>
    <row r="51" spans="9:33" ht="12.95" customHeight="1">
      <c r="Y51" s="49"/>
      <c r="Z51" s="49"/>
      <c r="AA51" s="49"/>
      <c r="AB51" s="49"/>
      <c r="AC51" s="49"/>
      <c r="AD51" s="49"/>
      <c r="AE51" s="49"/>
      <c r="AF51" s="49"/>
      <c r="AG51" s="49"/>
    </row>
    <row r="52" spans="9:33" ht="12.95" customHeight="1">
      <c r="Y52" s="49"/>
      <c r="Z52" s="49"/>
      <c r="AA52" s="49"/>
      <c r="AB52" s="49"/>
      <c r="AC52" s="49"/>
      <c r="AD52" s="49"/>
      <c r="AE52" s="49"/>
      <c r="AF52" s="49"/>
      <c r="AG52" s="49"/>
    </row>
    <row r="53" spans="9:33" ht="12.95" customHeight="1">
      <c r="Y53" s="49"/>
      <c r="Z53" s="49"/>
      <c r="AA53" s="49"/>
      <c r="AB53" s="49"/>
      <c r="AC53" s="49"/>
      <c r="AD53" s="49"/>
      <c r="AE53" s="49"/>
      <c r="AF53" s="49"/>
      <c r="AG53" s="49"/>
    </row>
    <row r="54" spans="9:33" ht="12.95" customHeight="1">
      <c r="I54" s="703"/>
      <c r="J54" s="703"/>
      <c r="K54" s="703"/>
      <c r="L54" s="703"/>
      <c r="M54" s="703"/>
      <c r="N54" s="703"/>
      <c r="O54" s="703"/>
      <c r="Y54" s="49"/>
      <c r="Z54" s="49"/>
      <c r="AA54" s="49"/>
      <c r="AB54" s="49"/>
      <c r="AC54" s="49"/>
      <c r="AD54" s="49"/>
      <c r="AE54" s="49"/>
      <c r="AF54" s="49"/>
      <c r="AG54" s="49"/>
    </row>
    <row r="55" spans="9:33" ht="12.95" customHeight="1">
      <c r="Y55" s="49"/>
      <c r="Z55" s="49"/>
      <c r="AA55" s="49"/>
      <c r="AB55" s="49"/>
      <c r="AC55" s="49"/>
      <c r="AD55" s="49"/>
      <c r="AE55" s="49"/>
      <c r="AF55" s="49"/>
      <c r="AG55" s="49"/>
    </row>
    <row r="56" spans="9:33" ht="12.95" customHeight="1">
      <c r="Y56" s="49"/>
      <c r="Z56" s="49"/>
      <c r="AA56" s="49"/>
      <c r="AB56" s="49"/>
      <c r="AC56" s="49"/>
      <c r="AD56" s="49"/>
      <c r="AE56" s="49"/>
      <c r="AF56" s="49"/>
      <c r="AG56" s="49"/>
    </row>
    <row r="57" spans="9:33" ht="12.95" customHeight="1">
      <c r="Y57" s="49"/>
      <c r="Z57" s="49"/>
      <c r="AA57" s="49"/>
      <c r="AB57" s="49"/>
      <c r="AC57" s="49"/>
      <c r="AD57" s="49"/>
      <c r="AE57" s="49"/>
      <c r="AF57" s="49"/>
      <c r="AG57" s="49"/>
    </row>
    <row r="58" spans="9:33" ht="12.95" customHeight="1">
      <c r="Y58" s="49"/>
      <c r="Z58" s="49"/>
      <c r="AA58" s="49"/>
      <c r="AB58" s="49"/>
      <c r="AC58" s="49"/>
      <c r="AD58" s="49"/>
      <c r="AE58" s="49"/>
      <c r="AF58" s="49"/>
      <c r="AG58" s="49"/>
    </row>
    <row r="59" spans="9:33" ht="12.95" customHeight="1">
      <c r="Y59" s="49"/>
      <c r="Z59" s="49"/>
      <c r="AA59" s="49"/>
      <c r="AB59" s="49"/>
      <c r="AC59" s="49"/>
      <c r="AD59" s="49"/>
      <c r="AE59" s="49"/>
      <c r="AF59" s="49"/>
      <c r="AG59" s="49"/>
    </row>
    <row r="60" spans="9:33" ht="12.95" customHeight="1">
      <c r="Y60" s="49"/>
      <c r="Z60" s="49"/>
      <c r="AA60" s="49"/>
      <c r="AB60" s="49"/>
      <c r="AC60" s="49"/>
      <c r="AD60" s="49"/>
      <c r="AE60" s="49"/>
      <c r="AF60" s="49"/>
      <c r="AG60" s="49"/>
    </row>
    <row r="61" spans="9:33" ht="12.95" customHeight="1">
      <c r="Y61" s="49"/>
      <c r="Z61" s="49"/>
      <c r="AA61" s="49"/>
      <c r="AB61" s="49"/>
      <c r="AC61" s="49"/>
      <c r="AD61" s="49"/>
      <c r="AE61" s="49"/>
      <c r="AF61" s="49"/>
      <c r="AG61" s="49"/>
    </row>
    <row r="62" spans="9:33" ht="12.95" customHeight="1">
      <c r="Y62" s="49"/>
      <c r="Z62" s="49"/>
      <c r="AA62" s="49"/>
      <c r="AB62" s="49"/>
      <c r="AC62" s="49"/>
      <c r="AD62" s="49"/>
      <c r="AE62" s="49"/>
      <c r="AF62" s="49"/>
      <c r="AG62" s="49"/>
    </row>
    <row r="63" spans="9:33" ht="12.95" customHeight="1">
      <c r="Y63" s="49"/>
      <c r="Z63" s="49"/>
      <c r="AA63" s="49"/>
      <c r="AB63" s="49"/>
      <c r="AC63" s="49"/>
      <c r="AD63" s="49"/>
      <c r="AE63" s="49"/>
      <c r="AF63" s="49"/>
      <c r="AG63" s="49"/>
    </row>
    <row r="64" spans="9:33" ht="12.95" customHeight="1">
      <c r="Y64" s="49"/>
      <c r="Z64" s="49"/>
      <c r="AA64" s="49"/>
      <c r="AB64" s="49"/>
      <c r="AC64" s="49"/>
      <c r="AD64" s="49"/>
      <c r="AE64" s="49"/>
      <c r="AF64" s="49"/>
      <c r="AG64" s="49"/>
    </row>
    <row r="65" spans="25:33" ht="12.95" customHeight="1">
      <c r="Y65" s="49"/>
      <c r="Z65" s="49"/>
      <c r="AA65" s="49"/>
      <c r="AB65" s="49"/>
      <c r="AC65" s="49"/>
      <c r="AD65" s="49"/>
      <c r="AE65" s="49"/>
      <c r="AF65" s="49"/>
      <c r="AG65" s="49"/>
    </row>
    <row r="66" spans="25:33" ht="12.95" customHeight="1">
      <c r="Y66" s="49"/>
      <c r="Z66" s="49"/>
      <c r="AA66" s="49"/>
      <c r="AB66" s="49"/>
      <c r="AC66" s="49"/>
      <c r="AD66" s="49"/>
      <c r="AE66" s="49"/>
      <c r="AF66" s="49"/>
      <c r="AG66" s="49"/>
    </row>
    <row r="67" spans="25:33" ht="12.95" customHeight="1">
      <c r="Y67" s="49"/>
      <c r="Z67" s="49"/>
      <c r="AA67" s="49"/>
      <c r="AB67" s="49"/>
      <c r="AC67" s="49"/>
      <c r="AD67" s="49"/>
      <c r="AE67" s="49"/>
      <c r="AF67" s="49"/>
      <c r="AG67" s="49"/>
    </row>
    <row r="68" spans="25:33" ht="12.95" customHeight="1">
      <c r="Y68" s="49"/>
      <c r="Z68" s="49"/>
      <c r="AA68" s="49"/>
      <c r="AB68" s="49"/>
      <c r="AC68" s="49"/>
      <c r="AD68" s="49"/>
      <c r="AE68" s="49"/>
      <c r="AF68" s="49"/>
      <c r="AG68" s="49"/>
    </row>
    <row r="69" spans="25:33" ht="12.95" customHeight="1">
      <c r="Y69" s="49"/>
      <c r="Z69" s="49"/>
      <c r="AA69" s="49"/>
      <c r="AB69" s="49"/>
      <c r="AC69" s="49"/>
      <c r="AD69" s="49"/>
      <c r="AE69" s="49"/>
      <c r="AF69" s="49"/>
      <c r="AG69" s="49"/>
    </row>
    <row r="70" spans="25:33" ht="12.95" customHeight="1">
      <c r="Y70" s="49"/>
      <c r="Z70" s="49"/>
      <c r="AA70" s="49"/>
      <c r="AB70" s="49"/>
      <c r="AC70" s="49"/>
      <c r="AD70" s="49"/>
      <c r="AE70" s="49"/>
      <c r="AF70" s="49"/>
      <c r="AG70" s="49"/>
    </row>
    <row r="71" spans="25:33" ht="12.95" customHeight="1">
      <c r="Y71" s="49"/>
      <c r="Z71" s="49"/>
      <c r="AA71" s="49"/>
      <c r="AB71" s="49"/>
      <c r="AC71" s="49"/>
      <c r="AD71" s="49"/>
      <c r="AE71" s="49"/>
      <c r="AF71" s="49"/>
      <c r="AG71" s="49"/>
    </row>
    <row r="72" spans="25:33" ht="12.95" customHeight="1">
      <c r="Y72" s="49"/>
      <c r="Z72" s="49"/>
      <c r="AA72" s="49"/>
      <c r="AB72" s="49"/>
      <c r="AC72" s="49"/>
      <c r="AD72" s="49"/>
      <c r="AE72" s="49"/>
      <c r="AF72" s="49"/>
      <c r="AG72" s="49"/>
    </row>
    <row r="73" spans="25:33" ht="12.95" customHeight="1">
      <c r="Y73" s="49"/>
      <c r="Z73" s="49"/>
      <c r="AA73" s="49"/>
      <c r="AB73" s="49"/>
      <c r="AC73" s="49"/>
      <c r="AD73" s="49"/>
      <c r="AE73" s="49"/>
      <c r="AF73" s="49"/>
      <c r="AG73" s="49"/>
    </row>
    <row r="74" spans="25:33" ht="12.95" customHeight="1">
      <c r="Y74" s="49"/>
      <c r="Z74" s="49"/>
      <c r="AA74" s="49"/>
      <c r="AB74" s="49"/>
      <c r="AC74" s="49"/>
      <c r="AD74" s="49"/>
      <c r="AE74" s="49"/>
      <c r="AF74" s="49"/>
      <c r="AG74" s="49"/>
    </row>
    <row r="75" spans="25:33" ht="12.95" customHeight="1">
      <c r="Y75" s="49"/>
      <c r="Z75" s="49"/>
      <c r="AA75" s="49"/>
      <c r="AB75" s="49"/>
      <c r="AC75" s="49"/>
      <c r="AD75" s="49"/>
      <c r="AE75" s="49"/>
      <c r="AF75" s="49"/>
      <c r="AG75" s="49"/>
    </row>
    <row r="76" spans="25:33" ht="12.95" customHeight="1">
      <c r="Y76" s="49"/>
      <c r="Z76" s="49"/>
      <c r="AA76" s="49"/>
      <c r="AB76" s="49"/>
      <c r="AC76" s="49"/>
      <c r="AD76" s="49"/>
      <c r="AE76" s="49"/>
      <c r="AF76" s="49"/>
      <c r="AG76" s="49"/>
    </row>
    <row r="77" spans="25:33" ht="12.95" customHeight="1">
      <c r="Y77" s="49"/>
      <c r="Z77" s="49"/>
      <c r="AA77" s="49"/>
      <c r="AB77" s="49"/>
      <c r="AC77" s="49"/>
      <c r="AD77" s="49"/>
      <c r="AE77" s="49"/>
      <c r="AF77" s="49"/>
      <c r="AG77" s="49"/>
    </row>
    <row r="78" spans="25:33" ht="12.95" customHeight="1">
      <c r="Y78" s="49"/>
      <c r="Z78" s="49"/>
      <c r="AA78" s="49"/>
      <c r="AB78" s="49"/>
      <c r="AC78" s="49"/>
      <c r="AD78" s="49"/>
      <c r="AE78" s="49"/>
      <c r="AF78" s="49"/>
      <c r="AG78" s="49"/>
    </row>
    <row r="79" spans="25:33" ht="12.95" customHeight="1">
      <c r="Y79" s="49"/>
      <c r="Z79" s="49"/>
      <c r="AA79" s="49"/>
      <c r="AB79" s="49"/>
      <c r="AC79" s="49"/>
      <c r="AD79" s="49"/>
      <c r="AE79" s="49"/>
      <c r="AF79" s="49"/>
      <c r="AG79" s="49"/>
    </row>
    <row r="80" spans="25:33" ht="12.95" customHeight="1">
      <c r="Y80" s="49"/>
      <c r="Z80" s="49"/>
      <c r="AA80" s="49"/>
      <c r="AB80" s="49"/>
      <c r="AC80" s="49"/>
      <c r="AD80" s="49"/>
      <c r="AE80" s="49"/>
      <c r="AF80" s="49"/>
      <c r="AG80" s="49"/>
    </row>
    <row r="81" spans="25:33" ht="12.95" customHeight="1">
      <c r="Y81" s="49"/>
      <c r="Z81" s="49"/>
      <c r="AA81" s="49"/>
      <c r="AB81" s="49"/>
      <c r="AC81" s="49"/>
      <c r="AD81" s="49"/>
      <c r="AE81" s="49"/>
      <c r="AF81" s="49"/>
      <c r="AG81" s="49"/>
    </row>
    <row r="82" spans="25:33" ht="12.95" customHeight="1">
      <c r="Y82" s="49"/>
      <c r="Z82" s="49"/>
      <c r="AA82" s="49"/>
      <c r="AB82" s="49"/>
      <c r="AC82" s="49"/>
      <c r="AD82" s="49"/>
      <c r="AE82" s="49"/>
      <c r="AF82" s="49"/>
      <c r="AG82" s="49"/>
    </row>
    <row r="83" spans="25:33" ht="12.95" customHeight="1">
      <c r="Y83" s="49"/>
      <c r="Z83" s="49"/>
      <c r="AA83" s="49"/>
      <c r="AB83" s="49"/>
      <c r="AC83" s="49"/>
      <c r="AD83" s="49"/>
      <c r="AE83" s="49"/>
      <c r="AF83" s="49"/>
      <c r="AG83" s="49"/>
    </row>
    <row r="84" spans="25:33" ht="12.95" customHeight="1">
      <c r="Y84" s="49"/>
      <c r="Z84" s="49"/>
      <c r="AA84" s="49"/>
      <c r="AB84" s="49"/>
      <c r="AC84" s="49"/>
      <c r="AD84" s="49"/>
      <c r="AE84" s="49"/>
      <c r="AF84" s="49"/>
      <c r="AG84" s="49"/>
    </row>
    <row r="85" spans="25:33" ht="12.95" customHeight="1">
      <c r="Y85" s="49"/>
      <c r="Z85" s="49"/>
      <c r="AA85" s="49"/>
      <c r="AB85" s="49"/>
      <c r="AC85" s="49"/>
      <c r="AD85" s="49"/>
      <c r="AE85" s="49"/>
      <c r="AF85" s="49"/>
      <c r="AG85" s="49"/>
    </row>
    <row r="86" spans="25:33" ht="12.95" customHeight="1">
      <c r="Y86" s="49"/>
      <c r="Z86" s="49"/>
      <c r="AA86" s="49"/>
      <c r="AB86" s="49"/>
      <c r="AC86" s="49"/>
      <c r="AD86" s="49"/>
      <c r="AE86" s="49"/>
      <c r="AF86" s="49"/>
      <c r="AG86" s="49"/>
    </row>
    <row r="87" spans="25:33" ht="12.95" customHeight="1">
      <c r="Y87" s="49"/>
      <c r="Z87" s="49"/>
      <c r="AA87" s="49"/>
      <c r="AB87" s="49"/>
      <c r="AC87" s="49"/>
      <c r="AD87" s="49"/>
      <c r="AE87" s="49"/>
      <c r="AF87" s="49"/>
      <c r="AG87" s="49"/>
    </row>
    <row r="88" spans="25:33" ht="12.95" customHeight="1">
      <c r="Y88" s="49"/>
      <c r="Z88" s="49"/>
      <c r="AA88" s="49"/>
      <c r="AB88" s="49"/>
      <c r="AC88" s="49"/>
      <c r="AD88" s="49"/>
      <c r="AE88" s="49"/>
      <c r="AF88" s="49"/>
      <c r="AG88" s="49"/>
    </row>
    <row r="89" spans="25:33" ht="12.95" customHeight="1">
      <c r="Y89" s="49"/>
      <c r="Z89" s="49"/>
      <c r="AA89" s="49"/>
      <c r="AB89" s="49"/>
      <c r="AC89" s="49"/>
      <c r="AD89" s="49"/>
      <c r="AE89" s="49"/>
      <c r="AF89" s="49"/>
      <c r="AG89" s="49"/>
    </row>
    <row r="90" spans="25:33" ht="12.95" customHeight="1">
      <c r="Y90" s="49"/>
      <c r="Z90" s="49"/>
      <c r="AA90" s="49"/>
      <c r="AB90" s="49"/>
      <c r="AC90" s="49"/>
      <c r="AD90" s="49"/>
      <c r="AE90" s="49"/>
      <c r="AF90" s="49"/>
      <c r="AG90" s="49"/>
    </row>
    <row r="91" spans="25:33" ht="12.95" customHeight="1">
      <c r="Y91" s="49"/>
      <c r="Z91" s="49"/>
      <c r="AA91" s="49"/>
      <c r="AB91" s="49"/>
      <c r="AC91" s="49"/>
      <c r="AD91" s="49"/>
      <c r="AE91" s="49"/>
      <c r="AF91" s="49"/>
      <c r="AG91" s="49"/>
    </row>
    <row r="92" spans="25:33" ht="12.95" customHeight="1">
      <c r="Y92" s="49"/>
      <c r="Z92" s="49"/>
      <c r="AA92" s="49"/>
      <c r="AB92" s="49"/>
      <c r="AC92" s="49"/>
      <c r="AD92" s="49"/>
      <c r="AE92" s="49"/>
      <c r="AF92" s="49"/>
      <c r="AG92" s="49"/>
    </row>
    <row r="93" spans="25:33" ht="12.95" customHeight="1">
      <c r="Y93" s="49"/>
      <c r="Z93" s="49"/>
      <c r="AA93" s="49"/>
      <c r="AB93" s="49"/>
      <c r="AC93" s="49"/>
      <c r="AD93" s="49"/>
      <c r="AE93" s="49"/>
      <c r="AF93" s="49"/>
      <c r="AG93" s="49"/>
    </row>
    <row r="94" spans="25:33" ht="12.95" customHeight="1">
      <c r="Y94" s="49"/>
      <c r="Z94" s="49"/>
      <c r="AA94" s="49"/>
      <c r="AB94" s="49"/>
      <c r="AC94" s="49"/>
      <c r="AD94" s="49"/>
      <c r="AE94" s="49"/>
      <c r="AF94" s="49"/>
      <c r="AG94" s="49"/>
    </row>
    <row r="95" spans="25:33" ht="12.95" customHeight="1">
      <c r="Y95" s="49"/>
      <c r="Z95" s="49"/>
      <c r="AA95" s="49"/>
      <c r="AB95" s="49"/>
      <c r="AC95" s="49"/>
      <c r="AD95" s="49"/>
      <c r="AE95" s="49"/>
      <c r="AF95" s="49"/>
      <c r="AG95" s="49"/>
    </row>
    <row r="96" spans="25:33" ht="12.95" customHeight="1">
      <c r="Y96" s="49"/>
      <c r="Z96" s="49"/>
      <c r="AA96" s="49"/>
      <c r="AB96" s="49"/>
      <c r="AC96" s="49"/>
      <c r="AD96" s="49"/>
      <c r="AE96" s="49"/>
      <c r="AF96" s="49"/>
      <c r="AG96" s="49"/>
    </row>
    <row r="97" spans="25:33" ht="12.95" customHeight="1">
      <c r="Y97" s="49"/>
      <c r="Z97" s="49"/>
      <c r="AA97" s="49"/>
      <c r="AB97" s="49"/>
      <c r="AC97" s="49"/>
      <c r="AD97" s="49"/>
      <c r="AE97" s="49"/>
      <c r="AF97" s="49"/>
      <c r="AG97" s="49"/>
    </row>
    <row r="98" spans="25:33" ht="12.95" customHeight="1">
      <c r="Y98" s="49"/>
      <c r="Z98" s="49"/>
      <c r="AA98" s="49"/>
      <c r="AB98" s="49"/>
      <c r="AC98" s="49"/>
      <c r="AD98" s="49"/>
      <c r="AE98" s="49"/>
      <c r="AF98" s="49"/>
      <c r="AG98" s="49"/>
    </row>
    <row r="99" spans="25:33" ht="12.95" customHeight="1">
      <c r="Y99" s="49"/>
      <c r="Z99" s="49"/>
      <c r="AA99" s="49"/>
      <c r="AB99" s="49"/>
      <c r="AC99" s="49"/>
      <c r="AD99" s="49"/>
      <c r="AE99" s="49"/>
      <c r="AF99" s="49"/>
      <c r="AG99" s="49"/>
    </row>
    <row r="100" spans="25:33" ht="12.95" customHeight="1">
      <c r="Y100" s="49"/>
      <c r="Z100" s="49"/>
      <c r="AA100" s="49"/>
      <c r="AB100" s="49"/>
      <c r="AC100" s="49"/>
      <c r="AD100" s="49"/>
      <c r="AE100" s="49"/>
      <c r="AF100" s="49"/>
      <c r="AG100" s="49"/>
    </row>
    <row r="101" spans="25:33" ht="12.95" customHeight="1">
      <c r="Y101" s="49"/>
      <c r="Z101" s="49"/>
      <c r="AA101" s="49"/>
      <c r="AB101" s="49"/>
      <c r="AC101" s="49"/>
      <c r="AD101" s="49"/>
      <c r="AE101" s="49"/>
      <c r="AF101" s="49"/>
      <c r="AG101" s="49"/>
    </row>
    <row r="102" spans="25:33" ht="12.95" customHeight="1">
      <c r="Y102" s="49"/>
      <c r="Z102" s="49"/>
      <c r="AA102" s="49"/>
      <c r="AB102" s="49"/>
      <c r="AC102" s="49"/>
      <c r="AD102" s="49"/>
      <c r="AE102" s="49"/>
      <c r="AF102" s="49"/>
      <c r="AG102" s="49"/>
    </row>
    <row r="103" spans="25:33" ht="12.95" customHeight="1">
      <c r="Y103" s="49"/>
      <c r="Z103" s="49"/>
      <c r="AA103" s="49"/>
      <c r="AB103" s="49"/>
      <c r="AC103" s="49"/>
      <c r="AD103" s="49"/>
      <c r="AE103" s="49"/>
      <c r="AF103" s="49"/>
      <c r="AG103" s="49"/>
    </row>
    <row r="104" spans="25:33" ht="12.95" customHeight="1">
      <c r="Y104" s="49"/>
      <c r="Z104" s="49"/>
      <c r="AA104" s="49"/>
      <c r="AB104" s="49"/>
      <c r="AC104" s="49"/>
      <c r="AD104" s="49"/>
      <c r="AE104" s="49"/>
      <c r="AF104" s="49"/>
      <c r="AG104" s="49"/>
    </row>
    <row r="105" spans="25:33" ht="12.95" customHeight="1">
      <c r="Y105" s="49"/>
      <c r="Z105" s="49"/>
      <c r="AA105" s="49"/>
      <c r="AB105" s="49"/>
      <c r="AC105" s="49"/>
      <c r="AD105" s="49"/>
      <c r="AE105" s="49"/>
      <c r="AF105" s="49"/>
      <c r="AG105" s="49"/>
    </row>
    <row r="106" spans="25:33" ht="12.95" customHeight="1">
      <c r="Y106" s="49"/>
      <c r="Z106" s="49"/>
      <c r="AA106" s="49"/>
      <c r="AB106" s="49"/>
      <c r="AC106" s="49"/>
      <c r="AD106" s="49"/>
      <c r="AE106" s="49"/>
      <c r="AF106" s="49"/>
      <c r="AG106" s="49"/>
    </row>
    <row r="107" spans="25:33" ht="12.95" customHeight="1">
      <c r="Y107" s="49"/>
      <c r="Z107" s="49"/>
      <c r="AA107" s="49"/>
      <c r="AB107" s="49"/>
      <c r="AC107" s="49"/>
      <c r="AD107" s="49"/>
      <c r="AE107" s="49"/>
      <c r="AF107" s="49"/>
      <c r="AG107" s="49"/>
    </row>
    <row r="108" spans="25:33" ht="12.95" customHeight="1">
      <c r="Y108" s="49"/>
      <c r="Z108" s="49"/>
      <c r="AA108" s="49"/>
      <c r="AB108" s="49"/>
      <c r="AC108" s="49"/>
      <c r="AD108" s="49"/>
      <c r="AE108" s="49"/>
      <c r="AF108" s="49"/>
      <c r="AG108" s="49"/>
    </row>
    <row r="109" spans="25:33" ht="12.95" customHeight="1">
      <c r="Y109" s="49"/>
      <c r="Z109" s="49"/>
      <c r="AA109" s="49"/>
      <c r="AB109" s="49"/>
      <c r="AC109" s="49"/>
      <c r="AD109" s="49"/>
      <c r="AE109" s="49"/>
      <c r="AF109" s="49"/>
      <c r="AG109" s="49"/>
    </row>
    <row r="110" spans="25:33" ht="12.95" customHeight="1">
      <c r="Y110" s="49"/>
      <c r="Z110" s="49"/>
      <c r="AA110" s="49"/>
      <c r="AB110" s="49"/>
      <c r="AC110" s="49"/>
      <c r="AD110" s="49"/>
      <c r="AE110" s="49"/>
      <c r="AF110" s="49"/>
      <c r="AG110" s="49"/>
    </row>
    <row r="111" spans="25:33" ht="12.95" customHeight="1">
      <c r="Y111" s="49"/>
      <c r="Z111" s="49"/>
      <c r="AA111" s="49"/>
      <c r="AB111" s="49"/>
      <c r="AC111" s="49"/>
      <c r="AD111" s="49"/>
      <c r="AE111" s="49"/>
      <c r="AF111" s="49"/>
      <c r="AG111" s="49"/>
    </row>
    <row r="112" spans="25:33" ht="12.95" customHeight="1">
      <c r="Y112" s="49"/>
      <c r="Z112" s="49"/>
      <c r="AA112" s="49"/>
      <c r="AB112" s="49"/>
      <c r="AC112" s="49"/>
      <c r="AD112" s="49"/>
      <c r="AE112" s="49"/>
      <c r="AF112" s="49"/>
      <c r="AG112" s="49"/>
    </row>
    <row r="113" spans="25:33" ht="12.95" customHeight="1">
      <c r="Y113" s="49"/>
      <c r="Z113" s="49"/>
      <c r="AA113" s="49"/>
      <c r="AB113" s="49"/>
      <c r="AC113" s="49"/>
      <c r="AD113" s="49"/>
      <c r="AE113" s="49"/>
      <c r="AF113" s="49"/>
      <c r="AG113" s="49"/>
    </row>
    <row r="114" spans="25:33" ht="12.95" customHeight="1">
      <c r="Y114" s="49"/>
      <c r="Z114" s="49"/>
      <c r="AA114" s="49"/>
      <c r="AB114" s="49"/>
      <c r="AC114" s="49"/>
      <c r="AD114" s="49"/>
      <c r="AE114" s="49"/>
      <c r="AF114" s="49"/>
      <c r="AG114" s="49"/>
    </row>
    <row r="115" spans="25:33" ht="12.95" customHeight="1">
      <c r="Y115" s="49"/>
      <c r="Z115" s="49"/>
      <c r="AA115" s="49"/>
      <c r="AB115" s="49"/>
      <c r="AC115" s="49"/>
      <c r="AD115" s="49"/>
      <c r="AE115" s="49"/>
      <c r="AF115" s="49"/>
      <c r="AG115" s="49"/>
    </row>
    <row r="116" spans="25:33" ht="12.95" customHeight="1">
      <c r="Y116" s="49"/>
      <c r="Z116" s="49"/>
      <c r="AA116" s="49"/>
      <c r="AB116" s="49"/>
      <c r="AC116" s="49"/>
      <c r="AD116" s="49"/>
      <c r="AE116" s="49"/>
      <c r="AF116" s="49"/>
      <c r="AG116" s="49"/>
    </row>
    <row r="117" spans="25:33" ht="12.95" customHeight="1">
      <c r="Y117" s="49"/>
      <c r="Z117" s="49"/>
      <c r="AA117" s="49"/>
      <c r="AB117" s="49"/>
      <c r="AC117" s="49"/>
      <c r="AD117" s="49"/>
      <c r="AE117" s="49"/>
      <c r="AF117" s="49"/>
      <c r="AG117" s="49"/>
    </row>
    <row r="118" spans="25:33" ht="12.95" customHeight="1">
      <c r="Y118" s="49"/>
      <c r="Z118" s="49"/>
      <c r="AA118" s="49"/>
      <c r="AB118" s="49"/>
      <c r="AC118" s="49"/>
      <c r="AD118" s="49"/>
      <c r="AE118" s="49"/>
      <c r="AF118" s="49"/>
      <c r="AG118" s="49"/>
    </row>
    <row r="119" spans="25:33" ht="12.95" customHeight="1">
      <c r="Y119" s="49"/>
      <c r="Z119" s="49"/>
      <c r="AA119" s="49"/>
      <c r="AB119" s="49"/>
      <c r="AC119" s="49"/>
      <c r="AD119" s="49"/>
      <c r="AE119" s="49"/>
      <c r="AF119" s="49"/>
      <c r="AG119" s="49"/>
    </row>
    <row r="120" spans="25:33" ht="12.95" customHeight="1">
      <c r="Y120" s="49"/>
      <c r="Z120" s="49"/>
      <c r="AA120" s="49"/>
      <c r="AB120" s="49"/>
      <c r="AC120" s="49"/>
      <c r="AD120" s="49"/>
      <c r="AE120" s="49"/>
      <c r="AF120" s="49"/>
      <c r="AG120" s="49"/>
    </row>
    <row r="121" spans="25:33" ht="12.95" customHeight="1">
      <c r="Y121" s="49"/>
      <c r="Z121" s="49"/>
      <c r="AA121" s="49"/>
      <c r="AB121" s="49"/>
      <c r="AC121" s="49"/>
      <c r="AD121" s="49"/>
      <c r="AE121" s="49"/>
      <c r="AF121" s="49"/>
      <c r="AG121" s="49"/>
    </row>
    <row r="122" spans="25:33" ht="12.95" customHeight="1">
      <c r="Y122" s="49"/>
      <c r="Z122" s="49"/>
      <c r="AA122" s="49"/>
      <c r="AB122" s="49"/>
      <c r="AC122" s="49"/>
      <c r="AD122" s="49"/>
      <c r="AE122" s="49"/>
      <c r="AF122" s="49"/>
      <c r="AG122" s="49"/>
    </row>
    <row r="123" spans="25:33" ht="12.95" customHeight="1">
      <c r="Y123" s="49"/>
      <c r="Z123" s="49"/>
      <c r="AA123" s="49"/>
      <c r="AB123" s="49"/>
      <c r="AC123" s="49"/>
      <c r="AD123" s="49"/>
      <c r="AE123" s="49"/>
      <c r="AF123" s="49"/>
      <c r="AG123" s="49"/>
    </row>
    <row r="124" spans="25:33" ht="12.95" customHeight="1">
      <c r="Y124" s="49"/>
      <c r="Z124" s="49"/>
      <c r="AA124" s="49"/>
      <c r="AB124" s="49"/>
      <c r="AC124" s="49"/>
      <c r="AD124" s="49"/>
      <c r="AE124" s="49"/>
      <c r="AF124" s="49"/>
      <c r="AG124" s="49"/>
    </row>
    <row r="125" spans="25:33" ht="12.95" customHeight="1">
      <c r="Y125" s="49"/>
      <c r="Z125" s="49"/>
      <c r="AA125" s="49"/>
      <c r="AB125" s="49"/>
      <c r="AC125" s="49"/>
      <c r="AD125" s="49"/>
      <c r="AE125" s="49"/>
      <c r="AF125" s="49"/>
      <c r="AG125" s="49"/>
    </row>
    <row r="126" spans="25:33" ht="12.95" customHeight="1">
      <c r="Y126" s="49"/>
      <c r="Z126" s="49"/>
      <c r="AA126" s="49"/>
      <c r="AB126" s="49"/>
      <c r="AC126" s="49"/>
      <c r="AD126" s="49"/>
      <c r="AE126" s="49"/>
      <c r="AF126" s="49"/>
      <c r="AG126" s="49"/>
    </row>
    <row r="127" spans="25:33" ht="12.95" customHeight="1">
      <c r="Y127" s="49"/>
      <c r="Z127" s="49"/>
      <c r="AA127" s="49"/>
      <c r="AB127" s="49"/>
      <c r="AC127" s="49"/>
      <c r="AD127" s="49"/>
      <c r="AE127" s="49"/>
      <c r="AF127" s="49"/>
      <c r="AG127" s="49"/>
    </row>
    <row r="128" spans="25:33" ht="12.95" customHeight="1">
      <c r="Y128" s="49"/>
      <c r="Z128" s="49"/>
      <c r="AA128" s="49"/>
      <c r="AB128" s="49"/>
      <c r="AC128" s="49"/>
      <c r="AD128" s="49"/>
      <c r="AE128" s="49"/>
      <c r="AF128" s="49"/>
      <c r="AG128" s="49"/>
    </row>
    <row r="129" spans="25:33" ht="12.95" customHeight="1">
      <c r="Y129" s="49"/>
      <c r="Z129" s="49"/>
      <c r="AA129" s="49"/>
      <c r="AB129" s="49"/>
      <c r="AC129" s="49"/>
      <c r="AD129" s="49"/>
      <c r="AE129" s="49"/>
      <c r="AF129" s="49"/>
      <c r="AG129" s="49"/>
    </row>
    <row r="130" spans="25:33" ht="12.95" customHeight="1">
      <c r="Y130" s="49"/>
      <c r="Z130" s="49"/>
      <c r="AA130" s="49"/>
      <c r="AB130" s="49"/>
      <c r="AC130" s="49"/>
      <c r="AD130" s="49"/>
      <c r="AE130" s="49"/>
      <c r="AF130" s="49"/>
      <c r="AG130" s="49"/>
    </row>
    <row r="131" spans="25:33" ht="12.95" customHeight="1">
      <c r="Y131" s="49"/>
      <c r="Z131" s="49"/>
      <c r="AA131" s="49"/>
      <c r="AB131" s="49"/>
      <c r="AC131" s="49"/>
      <c r="AD131" s="49"/>
      <c r="AE131" s="49"/>
      <c r="AF131" s="49"/>
      <c r="AG131" s="49"/>
    </row>
    <row r="132" spans="25:33" ht="12.95" customHeight="1">
      <c r="Y132" s="49"/>
      <c r="Z132" s="49"/>
      <c r="AA132" s="49"/>
      <c r="AB132" s="49"/>
      <c r="AC132" s="49"/>
      <c r="AD132" s="49"/>
      <c r="AE132" s="49"/>
      <c r="AF132" s="49"/>
      <c r="AG132" s="49"/>
    </row>
    <row r="133" spans="25:33" ht="12.95" customHeight="1">
      <c r="Y133" s="49"/>
      <c r="Z133" s="49"/>
      <c r="AA133" s="49"/>
      <c r="AB133" s="49"/>
      <c r="AC133" s="49"/>
      <c r="AD133" s="49"/>
      <c r="AE133" s="49"/>
      <c r="AF133" s="49"/>
      <c r="AG133" s="49"/>
    </row>
    <row r="134" spans="25:33" ht="12.95" customHeight="1">
      <c r="Y134" s="49"/>
      <c r="Z134" s="49"/>
      <c r="AA134" s="49"/>
      <c r="AB134" s="49"/>
      <c r="AC134" s="49"/>
      <c r="AD134" s="49"/>
      <c r="AE134" s="49"/>
      <c r="AF134" s="49"/>
      <c r="AG134" s="49"/>
    </row>
    <row r="135" spans="25:33" ht="12.95" customHeight="1">
      <c r="Y135" s="49"/>
      <c r="Z135" s="49"/>
      <c r="AA135" s="49"/>
      <c r="AB135" s="49"/>
      <c r="AC135" s="49"/>
      <c r="AD135" s="49"/>
      <c r="AE135" s="49"/>
      <c r="AF135" s="49"/>
      <c r="AG135" s="49"/>
    </row>
    <row r="136" spans="25:33" ht="12.95" customHeight="1">
      <c r="Y136" s="49"/>
      <c r="Z136" s="49"/>
      <c r="AA136" s="49"/>
      <c r="AB136" s="49"/>
      <c r="AC136" s="49"/>
      <c r="AD136" s="49"/>
      <c r="AE136" s="49"/>
      <c r="AF136" s="49"/>
      <c r="AG136" s="49"/>
    </row>
    <row r="137" spans="25:33" ht="12.95" customHeight="1">
      <c r="Y137" s="49"/>
      <c r="Z137" s="49"/>
      <c r="AA137" s="49"/>
      <c r="AB137" s="49"/>
      <c r="AC137" s="49"/>
      <c r="AD137" s="49"/>
      <c r="AE137" s="49"/>
      <c r="AF137" s="49"/>
      <c r="AG137" s="49"/>
    </row>
    <row r="138" spans="25:33" ht="12.95" customHeight="1">
      <c r="Y138" s="49"/>
      <c r="Z138" s="49"/>
      <c r="AA138" s="49"/>
      <c r="AB138" s="49"/>
      <c r="AC138" s="49"/>
      <c r="AD138" s="49"/>
      <c r="AE138" s="49"/>
      <c r="AF138" s="49"/>
      <c r="AG138" s="49"/>
    </row>
    <row r="139" spans="25:33" ht="12.95" customHeight="1">
      <c r="Y139" s="49"/>
      <c r="Z139" s="49"/>
      <c r="AA139" s="49"/>
      <c r="AB139" s="49"/>
      <c r="AC139" s="49"/>
      <c r="AD139" s="49"/>
      <c r="AE139" s="49"/>
      <c r="AF139" s="49"/>
      <c r="AG139" s="49"/>
    </row>
    <row r="140" spans="25:33" ht="12.95" customHeight="1">
      <c r="Y140" s="49"/>
      <c r="Z140" s="49"/>
      <c r="AA140" s="49"/>
      <c r="AB140" s="49"/>
      <c r="AC140" s="49"/>
      <c r="AD140" s="49"/>
      <c r="AE140" s="49"/>
      <c r="AF140" s="49"/>
      <c r="AG140" s="49"/>
    </row>
    <row r="141" spans="25:33" ht="12.95" customHeight="1">
      <c r="Y141" s="49"/>
      <c r="Z141" s="49"/>
      <c r="AA141" s="49"/>
      <c r="AB141" s="49"/>
      <c r="AC141" s="49"/>
      <c r="AD141" s="49"/>
      <c r="AE141" s="49"/>
      <c r="AF141" s="49"/>
      <c r="AG141" s="49"/>
    </row>
    <row r="142" spans="25:33" ht="12.95" customHeight="1">
      <c r="Y142" s="49"/>
      <c r="Z142" s="49"/>
      <c r="AA142" s="49"/>
      <c r="AB142" s="49"/>
      <c r="AC142" s="49"/>
      <c r="AD142" s="49"/>
      <c r="AE142" s="49"/>
      <c r="AF142" s="49"/>
      <c r="AG142" s="49"/>
    </row>
    <row r="143" spans="25:33" ht="12.95" customHeight="1">
      <c r="Y143" s="49"/>
      <c r="Z143" s="49"/>
      <c r="AA143" s="49"/>
      <c r="AB143" s="49"/>
      <c r="AC143" s="49"/>
      <c r="AD143" s="49"/>
      <c r="AE143" s="49"/>
      <c r="AF143" s="49"/>
      <c r="AG143" s="49"/>
    </row>
    <row r="144" spans="25:33" ht="12.95" customHeight="1">
      <c r="Y144" s="49"/>
      <c r="Z144" s="49"/>
      <c r="AA144" s="49"/>
      <c r="AB144" s="49"/>
      <c r="AC144" s="49"/>
      <c r="AD144" s="49"/>
      <c r="AE144" s="49"/>
      <c r="AF144" s="49"/>
      <c r="AG144" s="49"/>
    </row>
    <row r="145" spans="25:33" ht="12.95" customHeight="1">
      <c r="Y145" s="49"/>
      <c r="Z145" s="49"/>
      <c r="AA145" s="49"/>
      <c r="AB145" s="49"/>
      <c r="AC145" s="49"/>
      <c r="AD145" s="49"/>
      <c r="AE145" s="49"/>
      <c r="AF145" s="49"/>
      <c r="AG145" s="49"/>
    </row>
    <row r="146" spans="25:33" ht="12.95" customHeight="1">
      <c r="Y146" s="49"/>
      <c r="Z146" s="49"/>
      <c r="AA146" s="49"/>
      <c r="AB146" s="49"/>
      <c r="AC146" s="49"/>
      <c r="AD146" s="49"/>
      <c r="AE146" s="49"/>
      <c r="AF146" s="49"/>
      <c r="AG146" s="49"/>
    </row>
    <row r="147" spans="25:33" ht="12.95" customHeight="1">
      <c r="Y147" s="49"/>
      <c r="Z147" s="49"/>
      <c r="AA147" s="49"/>
      <c r="AB147" s="49"/>
      <c r="AC147" s="49"/>
      <c r="AD147" s="49"/>
      <c r="AE147" s="49"/>
      <c r="AF147" s="49"/>
      <c r="AG147" s="49"/>
    </row>
    <row r="148" spans="25:33" ht="12.95" customHeight="1">
      <c r="Y148" s="49"/>
      <c r="Z148" s="49"/>
      <c r="AA148" s="49"/>
      <c r="AB148" s="49"/>
      <c r="AC148" s="49"/>
      <c r="AD148" s="49"/>
      <c r="AE148" s="49"/>
      <c r="AF148" s="49"/>
      <c r="AG148" s="49"/>
    </row>
    <row r="149" spans="25:33" ht="12.95" customHeight="1">
      <c r="Y149" s="49"/>
      <c r="Z149" s="49"/>
      <c r="AA149" s="49"/>
      <c r="AB149" s="49"/>
      <c r="AC149" s="49"/>
      <c r="AD149" s="49"/>
      <c r="AE149" s="49"/>
      <c r="AF149" s="49"/>
      <c r="AG149" s="49"/>
    </row>
    <row r="150" spans="25:33" ht="12.95" customHeight="1">
      <c r="Y150" s="49"/>
      <c r="Z150" s="49"/>
      <c r="AA150" s="49"/>
      <c r="AB150" s="49"/>
      <c r="AC150" s="49"/>
      <c r="AD150" s="49"/>
      <c r="AE150" s="49"/>
      <c r="AF150" s="49"/>
      <c r="AG150" s="49"/>
    </row>
    <row r="151" spans="25:33" ht="12.95" customHeight="1">
      <c r="Y151" s="49"/>
      <c r="Z151" s="49"/>
      <c r="AA151" s="49"/>
      <c r="AB151" s="49"/>
      <c r="AC151" s="49"/>
      <c r="AD151" s="49"/>
      <c r="AE151" s="49"/>
      <c r="AF151" s="49"/>
      <c r="AG151" s="49"/>
    </row>
    <row r="152" spans="25:33" ht="12.95" customHeight="1">
      <c r="Y152" s="49"/>
      <c r="Z152" s="49"/>
      <c r="AA152" s="49"/>
      <c r="AB152" s="49"/>
      <c r="AC152" s="49"/>
      <c r="AD152" s="49"/>
      <c r="AE152" s="49"/>
      <c r="AF152" s="49"/>
      <c r="AG152" s="49"/>
    </row>
    <row r="153" spans="25:33" ht="12.95" customHeight="1">
      <c r="Y153" s="49"/>
      <c r="Z153" s="49"/>
      <c r="AA153" s="49"/>
      <c r="AB153" s="49"/>
      <c r="AC153" s="49"/>
      <c r="AD153" s="49"/>
      <c r="AE153" s="49"/>
      <c r="AF153" s="49"/>
      <c r="AG153" s="49"/>
    </row>
    <row r="154" spans="25:33" ht="12.95" customHeight="1">
      <c r="Y154" s="49"/>
      <c r="Z154" s="49"/>
      <c r="AA154" s="49"/>
      <c r="AB154" s="49"/>
      <c r="AC154" s="49"/>
      <c r="AD154" s="49"/>
      <c r="AE154" s="49"/>
      <c r="AF154" s="49"/>
      <c r="AG154" s="49"/>
    </row>
    <row r="155" spans="25:33" ht="12.95" customHeight="1">
      <c r="Y155" s="49"/>
      <c r="Z155" s="49"/>
      <c r="AA155" s="49"/>
      <c r="AB155" s="49"/>
      <c r="AC155" s="49"/>
      <c r="AD155" s="49"/>
      <c r="AE155" s="49"/>
      <c r="AF155" s="49"/>
      <c r="AG155" s="49"/>
    </row>
    <row r="156" spans="25:33" ht="12.95" customHeight="1">
      <c r="Y156" s="49"/>
      <c r="Z156" s="49"/>
      <c r="AA156" s="49"/>
      <c r="AB156" s="49"/>
      <c r="AC156" s="49"/>
      <c r="AD156" s="49"/>
      <c r="AE156" s="49"/>
      <c r="AF156" s="49"/>
      <c r="AG156" s="49"/>
    </row>
    <row r="157" spans="25:33" ht="12.95" customHeight="1">
      <c r="Y157" s="49"/>
      <c r="Z157" s="49"/>
      <c r="AA157" s="49"/>
      <c r="AB157" s="49"/>
      <c r="AC157" s="49"/>
      <c r="AD157" s="49"/>
      <c r="AE157" s="49"/>
      <c r="AF157" s="49"/>
      <c r="AG157" s="49"/>
    </row>
    <row r="158" spans="25:33" ht="12.95" customHeight="1">
      <c r="Y158" s="49"/>
      <c r="Z158" s="49"/>
      <c r="AA158" s="49"/>
      <c r="AB158" s="49"/>
      <c r="AC158" s="49"/>
      <c r="AD158" s="49"/>
      <c r="AE158" s="49"/>
      <c r="AF158" s="49"/>
      <c r="AG158" s="49"/>
    </row>
    <row r="159" spans="25:33" ht="12.95" customHeight="1">
      <c r="Y159" s="49"/>
      <c r="Z159" s="49"/>
      <c r="AA159" s="49"/>
      <c r="AB159" s="49"/>
      <c r="AC159" s="49"/>
      <c r="AD159" s="49"/>
      <c r="AE159" s="49"/>
      <c r="AF159" s="49"/>
      <c r="AG159" s="49"/>
    </row>
    <row r="160" spans="25:33" ht="12.95" customHeight="1">
      <c r="Y160" s="49"/>
      <c r="Z160" s="49"/>
      <c r="AA160" s="49"/>
      <c r="AB160" s="49"/>
      <c r="AC160" s="49"/>
      <c r="AD160" s="49"/>
      <c r="AE160" s="49"/>
      <c r="AF160" s="49"/>
      <c r="AG160" s="49"/>
    </row>
    <row r="161" spans="25:33" ht="12.95" customHeight="1">
      <c r="Y161" s="49"/>
      <c r="Z161" s="49"/>
      <c r="AA161" s="49"/>
      <c r="AB161" s="49"/>
      <c r="AC161" s="49"/>
      <c r="AD161" s="49"/>
      <c r="AE161" s="49"/>
      <c r="AF161" s="49"/>
      <c r="AG161" s="49"/>
    </row>
    <row r="162" spans="25:33" ht="12.95" customHeight="1">
      <c r="Y162" s="49"/>
      <c r="Z162" s="49"/>
      <c r="AA162" s="49"/>
      <c r="AB162" s="49"/>
      <c r="AC162" s="49"/>
      <c r="AD162" s="49"/>
      <c r="AE162" s="49"/>
      <c r="AF162" s="49"/>
      <c r="AG162" s="49"/>
    </row>
    <row r="163" spans="25:33" ht="12.95" customHeight="1">
      <c r="Y163" s="49"/>
      <c r="Z163" s="49"/>
      <c r="AA163" s="49"/>
      <c r="AB163" s="49"/>
      <c r="AC163" s="49"/>
      <c r="AD163" s="49"/>
      <c r="AE163" s="49"/>
      <c r="AF163" s="49"/>
      <c r="AG163" s="49"/>
    </row>
    <row r="164" spans="25:33" ht="12.95" customHeight="1">
      <c r="Y164" s="49"/>
      <c r="Z164" s="49"/>
      <c r="AA164" s="49"/>
      <c r="AB164" s="49"/>
      <c r="AC164" s="49"/>
      <c r="AD164" s="49"/>
      <c r="AE164" s="49"/>
      <c r="AF164" s="49"/>
      <c r="AG164" s="49"/>
    </row>
    <row r="165" spans="25:33" ht="12.95" customHeight="1">
      <c r="Y165" s="49"/>
      <c r="Z165" s="49"/>
      <c r="AA165" s="49"/>
      <c r="AB165" s="49"/>
      <c r="AC165" s="49"/>
      <c r="AD165" s="49"/>
      <c r="AE165" s="49"/>
      <c r="AF165" s="49"/>
      <c r="AG165" s="49"/>
    </row>
    <row r="166" spans="25:33" ht="12.95" customHeight="1">
      <c r="Y166" s="49"/>
      <c r="Z166" s="49"/>
      <c r="AA166" s="49"/>
      <c r="AB166" s="49"/>
      <c r="AC166" s="49"/>
      <c r="AD166" s="49"/>
      <c r="AE166" s="49"/>
      <c r="AF166" s="49"/>
      <c r="AG166" s="49"/>
    </row>
    <row r="167" spans="25:33" ht="12.95" customHeight="1">
      <c r="Y167" s="49"/>
      <c r="Z167" s="49"/>
      <c r="AA167" s="49"/>
      <c r="AB167" s="49"/>
      <c r="AC167" s="49"/>
      <c r="AD167" s="49"/>
      <c r="AE167" s="49"/>
      <c r="AF167" s="49"/>
      <c r="AG167" s="49"/>
    </row>
    <row r="168" spans="25:33" ht="12.95" customHeight="1">
      <c r="Y168" s="49"/>
      <c r="Z168" s="49"/>
      <c r="AA168" s="49"/>
      <c r="AB168" s="49"/>
      <c r="AC168" s="49"/>
      <c r="AD168" s="49"/>
      <c r="AE168" s="49"/>
      <c r="AF168" s="49"/>
      <c r="AG168" s="49"/>
    </row>
    <row r="169" spans="25:33" ht="12.95" customHeight="1">
      <c r="Y169" s="49"/>
      <c r="Z169" s="49"/>
      <c r="AA169" s="49"/>
      <c r="AB169" s="49"/>
      <c r="AC169" s="49"/>
      <c r="AD169" s="49"/>
      <c r="AE169" s="49"/>
      <c r="AF169" s="49"/>
      <c r="AG169" s="49"/>
    </row>
    <row r="170" spans="25:33" ht="12.95" customHeight="1">
      <c r="Y170" s="49"/>
      <c r="Z170" s="49"/>
      <c r="AA170" s="49"/>
      <c r="AB170" s="49"/>
      <c r="AC170" s="49"/>
      <c r="AD170" s="49"/>
      <c r="AE170" s="49"/>
      <c r="AF170" s="49"/>
      <c r="AG170" s="49"/>
    </row>
    <row r="171" spans="25:33" ht="12.95" customHeight="1">
      <c r="Y171" s="49"/>
      <c r="Z171" s="49"/>
      <c r="AA171" s="49"/>
      <c r="AB171" s="49"/>
      <c r="AC171" s="49"/>
      <c r="AD171" s="49"/>
      <c r="AE171" s="49"/>
      <c r="AF171" s="49"/>
      <c r="AG171" s="49"/>
    </row>
    <row r="172" spans="25:33" ht="12.95" customHeight="1">
      <c r="Y172" s="49"/>
      <c r="Z172" s="49"/>
      <c r="AA172" s="49"/>
      <c r="AB172" s="49"/>
      <c r="AC172" s="49"/>
      <c r="AD172" s="49"/>
      <c r="AE172" s="49"/>
      <c r="AF172" s="49"/>
      <c r="AG172" s="49"/>
    </row>
    <row r="173" spans="25:33" ht="12.95" customHeight="1">
      <c r="Y173" s="49"/>
      <c r="Z173" s="49"/>
      <c r="AA173" s="49"/>
      <c r="AB173" s="49"/>
      <c r="AC173" s="49"/>
      <c r="AD173" s="49"/>
      <c r="AE173" s="49"/>
      <c r="AF173" s="49"/>
      <c r="AG173" s="49"/>
    </row>
    <row r="174" spans="25:33" ht="12.95" customHeight="1">
      <c r="Y174" s="49"/>
      <c r="Z174" s="49"/>
      <c r="AA174" s="49"/>
      <c r="AB174" s="49"/>
      <c r="AC174" s="49"/>
      <c r="AD174" s="49"/>
      <c r="AE174" s="49"/>
      <c r="AF174" s="49"/>
      <c r="AG174" s="49"/>
    </row>
    <row r="175" spans="25:33" ht="12.95" customHeight="1">
      <c r="Y175" s="49"/>
      <c r="Z175" s="49"/>
      <c r="AA175" s="49"/>
      <c r="AB175" s="49"/>
      <c r="AC175" s="49"/>
      <c r="AD175" s="49"/>
      <c r="AE175" s="49"/>
      <c r="AF175" s="49"/>
      <c r="AG175" s="49"/>
    </row>
    <row r="176" spans="25:33" ht="12.95" customHeight="1">
      <c r="Y176" s="49"/>
      <c r="Z176" s="49"/>
      <c r="AA176" s="49"/>
      <c r="AB176" s="49"/>
      <c r="AC176" s="49"/>
      <c r="AD176" s="49"/>
      <c r="AE176" s="49"/>
      <c r="AF176" s="49"/>
      <c r="AG176" s="49"/>
    </row>
    <row r="177" spans="25:33" ht="12.95" customHeight="1">
      <c r="Y177" s="49"/>
      <c r="Z177" s="49"/>
      <c r="AA177" s="49"/>
      <c r="AB177" s="49"/>
      <c r="AC177" s="49"/>
      <c r="AD177" s="49"/>
      <c r="AE177" s="49"/>
      <c r="AF177" s="49"/>
      <c r="AG177" s="49"/>
    </row>
    <row r="178" spans="25:33" ht="12.95" customHeight="1">
      <c r="Y178" s="49"/>
      <c r="Z178" s="49"/>
      <c r="AA178" s="49"/>
      <c r="AB178" s="49"/>
      <c r="AC178" s="49"/>
      <c r="AD178" s="49"/>
      <c r="AE178" s="49"/>
      <c r="AF178" s="49"/>
      <c r="AG178" s="49"/>
    </row>
    <row r="179" spans="25:33" ht="12.95" customHeight="1">
      <c r="Y179" s="49"/>
      <c r="Z179" s="49"/>
      <c r="AA179" s="49"/>
      <c r="AB179" s="49"/>
      <c r="AC179" s="49"/>
      <c r="AD179" s="49"/>
      <c r="AE179" s="49"/>
      <c r="AF179" s="49"/>
      <c r="AG179" s="49"/>
    </row>
    <row r="180" spans="25:33" ht="12.95" customHeight="1">
      <c r="Y180" s="49"/>
      <c r="Z180" s="49"/>
      <c r="AA180" s="49"/>
      <c r="AB180" s="49"/>
      <c r="AC180" s="49"/>
      <c r="AD180" s="49"/>
      <c r="AE180" s="49"/>
      <c r="AF180" s="49"/>
      <c r="AG180" s="49"/>
    </row>
    <row r="181" spans="25:33" ht="12.95" customHeight="1">
      <c r="Y181" s="49"/>
      <c r="Z181" s="49"/>
      <c r="AA181" s="49"/>
      <c r="AB181" s="49"/>
      <c r="AC181" s="49"/>
      <c r="AD181" s="49"/>
      <c r="AE181" s="49"/>
      <c r="AF181" s="49"/>
      <c r="AG181" s="49"/>
    </row>
    <row r="182" spans="25:33" ht="12.95" customHeight="1">
      <c r="Y182" s="49"/>
      <c r="Z182" s="49"/>
      <c r="AA182" s="49"/>
      <c r="AB182" s="49"/>
      <c r="AC182" s="49"/>
      <c r="AD182" s="49"/>
      <c r="AE182" s="49"/>
      <c r="AF182" s="49"/>
      <c r="AG182" s="49"/>
    </row>
    <row r="183" spans="25:33" ht="12.95" customHeight="1">
      <c r="Y183" s="49"/>
      <c r="Z183" s="49"/>
      <c r="AA183" s="49"/>
      <c r="AB183" s="49"/>
      <c r="AC183" s="49"/>
      <c r="AD183" s="49"/>
      <c r="AE183" s="49"/>
      <c r="AF183" s="49"/>
      <c r="AG183" s="49"/>
    </row>
    <row r="184" spans="25:33" ht="12.95" customHeight="1">
      <c r="Y184" s="49"/>
      <c r="Z184" s="49"/>
      <c r="AA184" s="49"/>
      <c r="AB184" s="49"/>
      <c r="AC184" s="49"/>
      <c r="AD184" s="49"/>
      <c r="AE184" s="49"/>
      <c r="AF184" s="49"/>
      <c r="AG184" s="49"/>
    </row>
    <row r="185" spans="25:33" ht="12.95" customHeight="1">
      <c r="Y185" s="49"/>
      <c r="Z185" s="49"/>
      <c r="AA185" s="49"/>
      <c r="AB185" s="49"/>
      <c r="AC185" s="49"/>
      <c r="AD185" s="49"/>
      <c r="AE185" s="49"/>
      <c r="AF185" s="49"/>
      <c r="AG185" s="49"/>
    </row>
    <row r="186" spans="25:33" ht="12.95" customHeight="1">
      <c r="Y186" s="49"/>
      <c r="Z186" s="49"/>
      <c r="AA186" s="49"/>
      <c r="AB186" s="49"/>
      <c r="AC186" s="49"/>
      <c r="AD186" s="49"/>
      <c r="AE186" s="49"/>
      <c r="AF186" s="49"/>
      <c r="AG186" s="49"/>
    </row>
    <row r="187" spans="25:33" ht="12.95" customHeight="1">
      <c r="Y187" s="49"/>
      <c r="Z187" s="49"/>
      <c r="AA187" s="49"/>
      <c r="AB187" s="49"/>
      <c r="AC187" s="49"/>
      <c r="AD187" s="49"/>
      <c r="AE187" s="49"/>
      <c r="AF187" s="49"/>
      <c r="AG187" s="49"/>
    </row>
    <row r="188" spans="25:33" ht="12.95" customHeight="1">
      <c r="Y188" s="49"/>
      <c r="Z188" s="49"/>
      <c r="AA188" s="49"/>
      <c r="AB188" s="49"/>
      <c r="AC188" s="49"/>
      <c r="AD188" s="49"/>
      <c r="AE188" s="49"/>
      <c r="AF188" s="49"/>
      <c r="AG188" s="49"/>
    </row>
    <row r="189" spans="25:33" ht="12.95" customHeight="1">
      <c r="Y189" s="49"/>
      <c r="Z189" s="49"/>
      <c r="AA189" s="49"/>
      <c r="AB189" s="49"/>
      <c r="AC189" s="49"/>
      <c r="AD189" s="49"/>
      <c r="AE189" s="49"/>
      <c r="AF189" s="49"/>
      <c r="AG189" s="49"/>
    </row>
    <row r="190" spans="25:33" ht="12.95" customHeight="1">
      <c r="Y190" s="49"/>
      <c r="Z190" s="49"/>
      <c r="AA190" s="49"/>
      <c r="AB190" s="49"/>
      <c r="AC190" s="49"/>
      <c r="AD190" s="49"/>
      <c r="AE190" s="49"/>
      <c r="AF190" s="49"/>
      <c r="AG190" s="49"/>
    </row>
    <row r="191" spans="25:33" ht="12.95" customHeight="1">
      <c r="Y191" s="49"/>
      <c r="Z191" s="49"/>
      <c r="AA191" s="49"/>
      <c r="AB191" s="49"/>
      <c r="AC191" s="49"/>
      <c r="AD191" s="49"/>
      <c r="AE191" s="49"/>
      <c r="AF191" s="49"/>
      <c r="AG191" s="49"/>
    </row>
    <row r="192" spans="25:33" ht="12.95" customHeight="1">
      <c r="Y192" s="49"/>
      <c r="Z192" s="49"/>
      <c r="AA192" s="49"/>
      <c r="AB192" s="49"/>
      <c r="AC192" s="49"/>
      <c r="AD192" s="49"/>
      <c r="AE192" s="49"/>
      <c r="AF192" s="49"/>
      <c r="AG192" s="49"/>
    </row>
    <row r="193" spans="25:33" ht="12.95" customHeight="1">
      <c r="Y193" s="49"/>
      <c r="Z193" s="49"/>
      <c r="AA193" s="49"/>
      <c r="AB193" s="49"/>
      <c r="AC193" s="49"/>
      <c r="AD193" s="49"/>
      <c r="AE193" s="49"/>
      <c r="AF193" s="49"/>
      <c r="AG193" s="49"/>
    </row>
    <row r="194" spans="25:33" ht="12.95" customHeight="1">
      <c r="Y194" s="49"/>
      <c r="Z194" s="49"/>
      <c r="AA194" s="49"/>
      <c r="AB194" s="49"/>
      <c r="AC194" s="49"/>
      <c r="AD194" s="49"/>
      <c r="AE194" s="49"/>
      <c r="AF194" s="49"/>
      <c r="AG194" s="49"/>
    </row>
    <row r="195" spans="25:33" ht="12.95" customHeight="1">
      <c r="Y195" s="49"/>
      <c r="Z195" s="49"/>
      <c r="AA195" s="49"/>
      <c r="AB195" s="49"/>
      <c r="AC195" s="49"/>
      <c r="AD195" s="49"/>
      <c r="AE195" s="49"/>
      <c r="AF195" s="49"/>
      <c r="AG195" s="49"/>
    </row>
    <row r="196" spans="25:33" ht="12.95" customHeight="1">
      <c r="Y196" s="49"/>
      <c r="Z196" s="49"/>
      <c r="AA196" s="49"/>
      <c r="AB196" s="49"/>
      <c r="AC196" s="49"/>
      <c r="AD196" s="49"/>
      <c r="AE196" s="49"/>
      <c r="AF196" s="49"/>
      <c r="AG196" s="49"/>
    </row>
    <row r="197" spans="25:33" ht="12.95" customHeight="1">
      <c r="Y197" s="49"/>
      <c r="Z197" s="49"/>
      <c r="AA197" s="49"/>
      <c r="AB197" s="49"/>
      <c r="AC197" s="49"/>
      <c r="AD197" s="49"/>
      <c r="AE197" s="49"/>
      <c r="AF197" s="49"/>
      <c r="AG197" s="49"/>
    </row>
    <row r="198" spans="25:33" ht="12.95" customHeight="1">
      <c r="Y198" s="49"/>
      <c r="Z198" s="49"/>
      <c r="AA198" s="49"/>
      <c r="AB198" s="49"/>
      <c r="AC198" s="49"/>
      <c r="AD198" s="49"/>
      <c r="AE198" s="49"/>
      <c r="AF198" s="49"/>
      <c r="AG198" s="49"/>
    </row>
    <row r="199" spans="25:33" ht="12.95" customHeight="1">
      <c r="Y199" s="49"/>
      <c r="Z199" s="49"/>
      <c r="AA199" s="49"/>
      <c r="AB199" s="49"/>
      <c r="AC199" s="49"/>
      <c r="AD199" s="49"/>
      <c r="AE199" s="49"/>
      <c r="AF199" s="49"/>
      <c r="AG199" s="49"/>
    </row>
    <row r="200" spans="25:33" ht="12.95" customHeight="1">
      <c r="Y200" s="49"/>
      <c r="Z200" s="49"/>
      <c r="AA200" s="49"/>
      <c r="AB200" s="49"/>
      <c r="AC200" s="49"/>
      <c r="AD200" s="49"/>
      <c r="AE200" s="49"/>
      <c r="AF200" s="49"/>
      <c r="AG200" s="49"/>
    </row>
    <row r="201" spans="25:33" ht="12.95" customHeight="1">
      <c r="Y201" s="49"/>
      <c r="Z201" s="49"/>
      <c r="AA201" s="49"/>
      <c r="AB201" s="49"/>
      <c r="AC201" s="49"/>
      <c r="AD201" s="49"/>
      <c r="AE201" s="49"/>
      <c r="AF201" s="49"/>
      <c r="AG201" s="49"/>
    </row>
    <row r="202" spans="25:33" ht="12.95" customHeight="1">
      <c r="Y202" s="49"/>
      <c r="Z202" s="49"/>
      <c r="AA202" s="49"/>
      <c r="AB202" s="49"/>
      <c r="AC202" s="49"/>
      <c r="AD202" s="49"/>
      <c r="AE202" s="49"/>
      <c r="AF202" s="49"/>
      <c r="AG202" s="49"/>
    </row>
    <row r="203" spans="25:33" ht="12.95" customHeight="1">
      <c r="Y203" s="49"/>
      <c r="Z203" s="49"/>
      <c r="AA203" s="49"/>
      <c r="AB203" s="49"/>
      <c r="AC203" s="49"/>
      <c r="AD203" s="49"/>
      <c r="AE203" s="49"/>
      <c r="AF203" s="49"/>
      <c r="AG203" s="49"/>
    </row>
    <row r="204" spans="25:33" ht="12.95" customHeight="1">
      <c r="Y204" s="49"/>
      <c r="Z204" s="49"/>
      <c r="AA204" s="49"/>
      <c r="AB204" s="49"/>
      <c r="AC204" s="49"/>
      <c r="AD204" s="49"/>
      <c r="AE204" s="49"/>
      <c r="AF204" s="49"/>
      <c r="AG204" s="49"/>
    </row>
    <row r="205" spans="25:33" ht="12.95" customHeight="1">
      <c r="Y205" s="49"/>
      <c r="Z205" s="49"/>
      <c r="AA205" s="49"/>
      <c r="AB205" s="49"/>
      <c r="AC205" s="49"/>
      <c r="AD205" s="49"/>
      <c r="AE205" s="49"/>
      <c r="AF205" s="49"/>
      <c r="AG205" s="49"/>
    </row>
    <row r="206" spans="25:33" ht="12.95" customHeight="1">
      <c r="Y206" s="49"/>
      <c r="Z206" s="49"/>
      <c r="AA206" s="49"/>
      <c r="AB206" s="49"/>
      <c r="AC206" s="49"/>
      <c r="AD206" s="49"/>
      <c r="AE206" s="49"/>
      <c r="AF206" s="49"/>
      <c r="AG206" s="49"/>
    </row>
    <row r="207" spans="25:33" ht="12.95" customHeight="1">
      <c r="Y207" s="49"/>
      <c r="Z207" s="49"/>
      <c r="AA207" s="49"/>
      <c r="AB207" s="49"/>
      <c r="AC207" s="49"/>
      <c r="AD207" s="49"/>
      <c r="AE207" s="49"/>
      <c r="AF207" s="49"/>
      <c r="AG207" s="49"/>
    </row>
    <row r="208" spans="25:33" ht="12.95" customHeight="1">
      <c r="Y208" s="49"/>
      <c r="Z208" s="49"/>
      <c r="AA208" s="49"/>
      <c r="AB208" s="49"/>
      <c r="AC208" s="49"/>
      <c r="AD208" s="49"/>
      <c r="AE208" s="49"/>
      <c r="AF208" s="49"/>
      <c r="AG208" s="49"/>
    </row>
    <row r="209" spans="25:33" ht="12.95" customHeight="1">
      <c r="Y209" s="49"/>
      <c r="Z209" s="49"/>
      <c r="AA209" s="49"/>
      <c r="AB209" s="49"/>
      <c r="AC209" s="49"/>
      <c r="AD209" s="49"/>
      <c r="AE209" s="49"/>
      <c r="AF209" s="49"/>
      <c r="AG209" s="49"/>
    </row>
    <row r="210" spans="25:33" ht="12.95" customHeight="1">
      <c r="Y210" s="49"/>
      <c r="Z210" s="49"/>
      <c r="AA210" s="49"/>
      <c r="AB210" s="49"/>
      <c r="AC210" s="49"/>
      <c r="AD210" s="49"/>
      <c r="AE210" s="49"/>
      <c r="AF210" s="49"/>
      <c r="AG210" s="49"/>
    </row>
    <row r="211" spans="25:33" ht="12.95" customHeight="1">
      <c r="Y211" s="49"/>
      <c r="Z211" s="49"/>
      <c r="AA211" s="49"/>
      <c r="AB211" s="49"/>
      <c r="AC211" s="49"/>
      <c r="AD211" s="49"/>
      <c r="AE211" s="49"/>
      <c r="AF211" s="49"/>
      <c r="AG211" s="49"/>
    </row>
    <row r="212" spans="25:33" ht="12.95" customHeight="1">
      <c r="Y212" s="49"/>
      <c r="Z212" s="49"/>
      <c r="AA212" s="49"/>
      <c r="AB212" s="49"/>
      <c r="AC212" s="49"/>
      <c r="AD212" s="49"/>
      <c r="AE212" s="49"/>
      <c r="AF212" s="49"/>
      <c r="AG212" s="49"/>
    </row>
  </sheetData>
  <mergeCells count="46">
    <mergeCell ref="E32:F32"/>
    <mergeCell ref="E40:F40"/>
    <mergeCell ref="E41:F41"/>
    <mergeCell ref="E34:F34"/>
    <mergeCell ref="B18:D18"/>
    <mergeCell ref="B19:D19"/>
    <mergeCell ref="B20:D20"/>
    <mergeCell ref="E20:F20"/>
    <mergeCell ref="E19:F19"/>
    <mergeCell ref="B16:D16"/>
    <mergeCell ref="B17:D17"/>
    <mergeCell ref="S2:U2"/>
    <mergeCell ref="S3:U3"/>
    <mergeCell ref="L2:N2"/>
    <mergeCell ref="B10:D10"/>
    <mergeCell ref="B11:D11"/>
    <mergeCell ref="B12:D12"/>
    <mergeCell ref="B13:D13"/>
    <mergeCell ref="B14:D14"/>
    <mergeCell ref="B15:D15"/>
    <mergeCell ref="E4:F4"/>
    <mergeCell ref="B4:D4"/>
    <mergeCell ref="Y2:AG2"/>
    <mergeCell ref="Y4:Z4"/>
    <mergeCell ref="AA4:AB4"/>
    <mergeCell ref="AD4:AE4"/>
    <mergeCell ref="AF4:AG4"/>
    <mergeCell ref="AG5:AG6"/>
    <mergeCell ref="AF5:AF6"/>
    <mergeCell ref="AE5:AE6"/>
    <mergeCell ref="AD5:AD6"/>
    <mergeCell ref="B3:D3"/>
    <mergeCell ref="I54:O54"/>
    <mergeCell ref="L6:N6"/>
    <mergeCell ref="L7:N7"/>
    <mergeCell ref="AB5:AB6"/>
    <mergeCell ref="AA5:AA6"/>
    <mergeCell ref="O41:P41"/>
    <mergeCell ref="L41:N41"/>
    <mergeCell ref="Z5:Z6"/>
    <mergeCell ref="L15:N15"/>
    <mergeCell ref="S11:U11"/>
    <mergeCell ref="L10:N10"/>
    <mergeCell ref="L5:N5"/>
    <mergeCell ref="Y5:Y6"/>
    <mergeCell ref="H34:I34"/>
  </mergeCells>
  <conditionalFormatting sqref="L15:P15">
    <cfRule type="containsErrors" dxfId="25" priority="16" stopIfTrue="1">
      <formula>ISERROR(L15)</formula>
    </cfRule>
  </conditionalFormatting>
  <conditionalFormatting sqref="L41:P41">
    <cfRule type="containsErrors" dxfId="24" priority="15" stopIfTrue="1">
      <formula>ISERROR(L41)</formula>
    </cfRule>
  </conditionalFormatting>
  <conditionalFormatting sqref="S2:W3">
    <cfRule type="containsErrors" dxfId="23" priority="13" stopIfTrue="1">
      <formula>ISERROR(S2)</formula>
    </cfRule>
  </conditionalFormatting>
  <conditionalFormatting sqref="C7">
    <cfRule type="containsErrors" dxfId="22" priority="6" stopIfTrue="1">
      <formula>ISERROR(C7)</formula>
    </cfRule>
  </conditionalFormatting>
  <conditionalFormatting sqref="C6">
    <cfRule type="containsErrors" dxfId="21" priority="5" stopIfTrue="1">
      <formula>ISERROR(C6)</formula>
    </cfRule>
  </conditionalFormatting>
  <conditionalFormatting sqref="C8">
    <cfRule type="containsErrors" dxfId="20" priority="3" stopIfTrue="1">
      <formula>ISERROR(C8)</formula>
    </cfRule>
  </conditionalFormatting>
  <conditionalFormatting sqref="B10">
    <cfRule type="containsErrors" dxfId="19" priority="2" stopIfTrue="1">
      <formula>ISERROR(B10)</formula>
    </cfRule>
  </conditionalFormatting>
  <conditionalFormatting sqref="B4:F4">
    <cfRule type="containsErrors" dxfId="18" priority="1" stopIfTrue="1">
      <formula>ISERROR(B4)</formula>
    </cfRule>
  </conditionalFormatting>
  <dataValidations count="2">
    <dataValidation type="list" allowBlank="1" showInputMessage="1" showErrorMessage="1" sqref="O10:P10">
      <formula1>"0%,-5%,-10%,-15%,-20%,-25%,-30%,-35%,-40%,-45%,-50%,-55%,-60%,-65%,-70%,-75%"</formula1>
    </dataValidation>
    <dataValidation type="list" allowBlank="1" showInputMessage="1" showErrorMessage="1" sqref="E6">
      <formula1>"1,15/16,7/8,13/16,3/4,11/16,5/8,9/16,1/2,7/16,3/8,5/16,1/4,3/16,1/8,1/16,0"</formula1>
    </dataValidation>
  </dataValidations>
  <pageMargins left="0.7" right="0.7" top="0.75" bottom="0.75" header="0.3" footer="0.3"/>
  <pageSetup scale="40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AI259"/>
  <sheetViews>
    <sheetView showGridLines="0" workbookViewId="0">
      <selection activeCell="Q18" sqref="Q18:R18"/>
    </sheetView>
  </sheetViews>
  <sheetFormatPr defaultColWidth="6.5703125" defaultRowHeight="11.25" customHeight="1"/>
  <cols>
    <col min="1" max="5" width="6.5703125" style="3"/>
    <col min="6" max="6" width="6.5703125" style="3" customWidth="1"/>
    <col min="7" max="13" width="6.5703125" style="3"/>
    <col min="14" max="19" width="6.5703125" style="3" customWidth="1"/>
    <col min="20" max="23" width="6.5703125" style="347" customWidth="1"/>
    <col min="24" max="27" width="6.5703125" style="347"/>
    <col min="28" max="16384" width="6.5703125" style="3"/>
  </cols>
  <sheetData>
    <row r="1" spans="1:28" ht="11.25" customHeight="1">
      <c r="A1" s="488" t="s">
        <v>764</v>
      </c>
      <c r="B1" s="488"/>
      <c r="C1" s="488"/>
      <c r="D1" s="488"/>
      <c r="E1" s="488"/>
      <c r="F1" s="258"/>
    </row>
    <row r="2" spans="1:28" ht="11.25" customHeight="1" thickBot="1">
      <c r="B2" s="498" t="s">
        <v>553</v>
      </c>
      <c r="C2" s="498"/>
      <c r="D2" s="498"/>
      <c r="E2" s="498"/>
      <c r="F2" s="498"/>
      <c r="G2" s="498"/>
      <c r="H2" s="498"/>
      <c r="I2" s="498"/>
      <c r="J2" s="498"/>
      <c r="K2" s="498"/>
      <c r="L2" s="498"/>
      <c r="N2" s="509" t="s">
        <v>70</v>
      </c>
      <c r="O2" s="509"/>
      <c r="P2" s="509"/>
      <c r="Q2" s="509"/>
      <c r="R2" s="509"/>
    </row>
    <row r="3" spans="1:28" ht="11.25" customHeight="1" thickTop="1">
      <c r="X3" s="354"/>
      <c r="Y3" s="520"/>
      <c r="Z3" s="520"/>
      <c r="AA3" s="520"/>
      <c r="AB3" s="520"/>
    </row>
    <row r="4" spans="1:28" ht="11.25" customHeight="1">
      <c r="E4" s="499" t="s">
        <v>31</v>
      </c>
      <c r="F4" s="500"/>
      <c r="K4" s="499" t="s">
        <v>32</v>
      </c>
      <c r="L4" s="500"/>
      <c r="Q4" s="44" t="s">
        <v>28</v>
      </c>
      <c r="R4" s="44" t="s">
        <v>29</v>
      </c>
      <c r="T4" s="22"/>
      <c r="U4" s="3"/>
      <c r="AA4" s="3"/>
    </row>
    <row r="5" spans="1:28" ht="11.25" customHeight="1">
      <c r="B5" s="495" t="s">
        <v>0</v>
      </c>
      <c r="C5" s="496"/>
      <c r="D5" s="497"/>
      <c r="E5" s="35">
        <f>'FMTC Main'!E22</f>
        <v>0</v>
      </c>
      <c r="F5" s="28" t="s">
        <v>23</v>
      </c>
      <c r="H5" s="495" t="s">
        <v>0</v>
      </c>
      <c r="I5" s="496"/>
      <c r="J5" s="497"/>
      <c r="K5" s="35">
        <f>'FMTC Main'!E27</f>
        <v>0</v>
      </c>
      <c r="L5" s="28" t="s">
        <v>23</v>
      </c>
      <c r="N5" s="510" t="s">
        <v>557</v>
      </c>
      <c r="O5" s="511"/>
      <c r="P5" s="512"/>
      <c r="Q5" s="515" t="str">
        <f>'FMTC Main'!E8</f>
        <v>RWD</v>
      </c>
      <c r="R5" s="516"/>
      <c r="T5" s="22"/>
      <c r="U5" s="3"/>
      <c r="AA5" s="3"/>
    </row>
    <row r="6" spans="1:28" ht="11.25" customHeight="1">
      <c r="B6" s="495" t="s">
        <v>1</v>
      </c>
      <c r="C6" s="496"/>
      <c r="D6" s="497"/>
      <c r="E6" s="35">
        <f>'FMTC Main'!E23</f>
        <v>0</v>
      </c>
      <c r="F6" s="28" t="s">
        <v>22</v>
      </c>
      <c r="H6" s="495" t="s">
        <v>1</v>
      </c>
      <c r="I6" s="496"/>
      <c r="J6" s="497"/>
      <c r="K6" s="35">
        <f>'FMTC Main'!E28</f>
        <v>0</v>
      </c>
      <c r="L6" s="28" t="s">
        <v>22</v>
      </c>
      <c r="N6" s="510" t="s">
        <v>25</v>
      </c>
      <c r="O6" s="511"/>
      <c r="P6" s="512"/>
      <c r="Q6" s="513">
        <f>'FMTC Main'!E11</f>
        <v>0</v>
      </c>
      <c r="R6" s="514"/>
      <c r="T6" s="22"/>
      <c r="U6" s="3"/>
      <c r="AA6" s="3"/>
    </row>
    <row r="7" spans="1:28" ht="11.25" customHeight="1">
      <c r="B7" s="495" t="s">
        <v>2</v>
      </c>
      <c r="C7" s="496"/>
      <c r="D7" s="497"/>
      <c r="E7" s="36">
        <f>'FMTC Main'!E24</f>
        <v>0</v>
      </c>
      <c r="F7" s="31" t="s">
        <v>21</v>
      </c>
      <c r="H7" s="495" t="s">
        <v>2</v>
      </c>
      <c r="I7" s="496"/>
      <c r="J7" s="497"/>
      <c r="K7" s="36">
        <f>'FMTC Main'!E29</f>
        <v>0</v>
      </c>
      <c r="L7" s="31" t="s">
        <v>21</v>
      </c>
      <c r="N7" s="481" t="s">
        <v>54</v>
      </c>
      <c r="O7" s="484"/>
      <c r="P7" s="508"/>
      <c r="Q7" s="117">
        <f>'FMTC Main'!E12/100</f>
        <v>0</v>
      </c>
      <c r="R7" s="117">
        <f>1-Q7</f>
        <v>1</v>
      </c>
      <c r="T7" s="22"/>
      <c r="U7" s="3"/>
      <c r="AA7" s="3"/>
    </row>
    <row r="8" spans="1:28" ht="11.25" customHeight="1">
      <c r="B8" s="495" t="s">
        <v>547</v>
      </c>
      <c r="C8" s="496"/>
      <c r="D8" s="497"/>
      <c r="E8" s="119">
        <f>IF(Q29="",Q25,Q29)</f>
        <v>32.5</v>
      </c>
      <c r="F8" s="28" t="str">
        <f>IF('FMTC Main'!E5="Metric","bar","psi")</f>
        <v>psi</v>
      </c>
      <c r="H8" s="495" t="s">
        <v>547</v>
      </c>
      <c r="I8" s="496"/>
      <c r="J8" s="497"/>
      <c r="K8" s="119">
        <f>IF(R29="",Q25,R29)</f>
        <v>32.5</v>
      </c>
      <c r="L8" s="28" t="str">
        <f>IF('FMTC Main'!E5="Metric","bar","psi")</f>
        <v>psi</v>
      </c>
      <c r="Q8" s="50">
        <f>Q6*Q7</f>
        <v>0</v>
      </c>
      <c r="R8" s="50">
        <f>Q6*R7</f>
        <v>0</v>
      </c>
      <c r="T8" s="22"/>
      <c r="U8" s="3"/>
      <c r="AA8" s="3"/>
    </row>
    <row r="9" spans="1:28" ht="11.25" customHeight="1">
      <c r="B9" s="492" t="s">
        <v>15</v>
      </c>
      <c r="C9" s="493"/>
      <c r="D9" s="494"/>
      <c r="E9" s="32">
        <f>E10/2</f>
        <v>0</v>
      </c>
      <c r="F9" s="33" t="str">
        <f>IF('FMTC Main'!E5="Metric","m","in")</f>
        <v>in</v>
      </c>
      <c r="H9" s="492" t="s">
        <v>15</v>
      </c>
      <c r="I9" s="493"/>
      <c r="J9" s="494"/>
      <c r="K9" s="32">
        <f>K10/2</f>
        <v>0</v>
      </c>
      <c r="L9" s="33" t="str">
        <f>IF('FMTC Main'!$E$5="Metric","m","in")</f>
        <v>in</v>
      </c>
      <c r="N9" s="481" t="s">
        <v>669</v>
      </c>
      <c r="O9" s="484"/>
      <c r="P9" s="508"/>
      <c r="Q9" s="529" t="e">
        <f>('Tire Dynamics'!Q6/'Calculation Data &amp; Factors'!A12)*((('Tire Dynamics'!Q43*IF('FMTC Main'!E5="Metric",0.001,0.0254))^2)+(('Tire Dynamics'!Q42*IF('FMTC Main'!E5="Metric",0.001,0.0254))^2))/12</f>
        <v>#N/A</v>
      </c>
      <c r="R9" s="530"/>
      <c r="T9" s="22"/>
      <c r="U9" s="3"/>
      <c r="AA9" s="3"/>
    </row>
    <row r="10" spans="1:28" ht="11.25" customHeight="1">
      <c r="B10" s="492" t="s">
        <v>18</v>
      </c>
      <c r="C10" s="493"/>
      <c r="D10" s="494"/>
      <c r="E10" s="24">
        <f>((E5*(E6/100)*2)/25.4+E7)*IF('FMTC Main'!E5="Metric",0.0254,1)</f>
        <v>0</v>
      </c>
      <c r="F10" s="16" t="str">
        <f>IF('FMTC Main'!E5="Metric","m","in")</f>
        <v>in</v>
      </c>
      <c r="H10" s="492" t="s">
        <v>18</v>
      </c>
      <c r="I10" s="493"/>
      <c r="J10" s="494"/>
      <c r="K10" s="24">
        <f>((K5*(K6/100)*2)/25.4+K7)*IF('FMTC Main'!E5="Metric",0.0254,1)</f>
        <v>0</v>
      </c>
      <c r="L10" s="33" t="str">
        <f>IF('FMTC Main'!$E$5="Metric","m","in")</f>
        <v>in</v>
      </c>
      <c r="N10" s="481" t="s">
        <v>651</v>
      </c>
      <c r="O10" s="484"/>
      <c r="P10" s="508"/>
      <c r="Q10" s="126">
        <f>'FMTC Main'!E17</f>
        <v>0</v>
      </c>
      <c r="R10" s="127" t="s">
        <v>652</v>
      </c>
      <c r="T10" s="22"/>
      <c r="U10" s="3"/>
      <c r="AA10" s="3"/>
    </row>
    <row r="11" spans="1:28" ht="11.25" customHeight="1">
      <c r="B11" s="492" t="s">
        <v>19</v>
      </c>
      <c r="C11" s="493"/>
      <c r="D11" s="494"/>
      <c r="E11" s="29">
        <f>E10*PI()</f>
        <v>0</v>
      </c>
      <c r="F11" s="30" t="str">
        <f>IF('FMTC Main'!E5="Metric","m","in")</f>
        <v>in</v>
      </c>
      <c r="H11" s="492" t="s">
        <v>19</v>
      </c>
      <c r="I11" s="493"/>
      <c r="J11" s="494"/>
      <c r="K11" s="29">
        <f>K10*PI()</f>
        <v>0</v>
      </c>
      <c r="L11" s="33" t="str">
        <f>IF('FMTC Main'!$E$5="Metric","m","in")</f>
        <v>in</v>
      </c>
      <c r="N11" s="481" t="s">
        <v>653</v>
      </c>
      <c r="O11" s="484"/>
      <c r="P11" s="508"/>
      <c r="Q11" s="130">
        <f>DEGREES(-ATAN(Q10/'Calculation Data &amp; Factors'!A31))</f>
        <v>0</v>
      </c>
      <c r="R11" s="125" t="s">
        <v>33</v>
      </c>
      <c r="T11" s="22"/>
      <c r="U11" s="3"/>
      <c r="AA11" s="3"/>
    </row>
    <row r="12" spans="1:28" ht="11.25" customHeight="1">
      <c r="B12" s="489" t="s">
        <v>546</v>
      </c>
      <c r="C12" s="490"/>
      <c r="D12" s="491"/>
      <c r="E12" s="37">
        <f>(E5*(E6/100)*0.03937)*IF('FMTC Main'!E5="Metric",0.0254,1)</f>
        <v>0</v>
      </c>
      <c r="F12" s="34" t="str">
        <f>IF('FMTC Main'!E5="Metric","m","in")</f>
        <v>in</v>
      </c>
      <c r="H12" s="489" t="s">
        <v>546</v>
      </c>
      <c r="I12" s="490"/>
      <c r="J12" s="491"/>
      <c r="K12" s="37">
        <f>(K5*(K6/100)*0.03937)*IF('FMTC Main'!E5="Metric",0.0254,1)</f>
        <v>0</v>
      </c>
      <c r="L12" s="33" t="str">
        <f>IF('FMTC Main'!$E$5="Metric","m","in")</f>
        <v>in</v>
      </c>
      <c r="N12" s="481" t="s">
        <v>762</v>
      </c>
      <c r="O12" s="484"/>
      <c r="P12" s="508"/>
      <c r="Q12" s="720" t="e">
        <f>'Calculation Data &amp; Factors'!A18*0.001/IF('FMTC Main'!E5="Metric",0.001,0.0254)</f>
        <v>#N/A</v>
      </c>
      <c r="R12" s="127" t="str">
        <f>IF('FMTC Main'!E5="Metric","mm","in")</f>
        <v>in</v>
      </c>
      <c r="T12" s="22"/>
      <c r="U12" s="3"/>
      <c r="AA12" s="3"/>
    </row>
    <row r="13" spans="1:28" ht="11.25" customHeight="1">
      <c r="B13" s="503" t="s">
        <v>548</v>
      </c>
      <c r="C13" s="504"/>
      <c r="D13" s="505"/>
      <c r="E13" s="42">
        <f>E$5*IF('FMTC Main'!$E$5="Metric",0.001,0.0393700787)</f>
        <v>0</v>
      </c>
      <c r="F13" s="43" t="str">
        <f>IF('FMTC Main'!E5="Metric","m","in")</f>
        <v>in</v>
      </c>
      <c r="H13" s="503" t="s">
        <v>548</v>
      </c>
      <c r="I13" s="504"/>
      <c r="J13" s="505"/>
      <c r="K13" s="42">
        <f>K$5*IF('FMTC Main'!$E$5="Metric",0.001,0.0393700787)</f>
        <v>0</v>
      </c>
      <c r="L13" s="33" t="str">
        <f>IF('FMTC Main'!$E$5="Metric","m","in")</f>
        <v>in</v>
      </c>
      <c r="N13" s="481" t="s">
        <v>1022</v>
      </c>
      <c r="O13" s="484"/>
      <c r="P13" s="508"/>
      <c r="Q13" s="134" t="e">
        <f>('FMTC Main'!E11*IF('FMTC Main'!E5="Metric",9.80665,4.448222))*('Tire Dynamics'!Q12*IF('FMTC Main'!E5="Metric",0.001,0.0254))/('Calculation Data &amp; Factors'!B17+'Calculation Data &amp; Factors'!C17)</f>
        <v>#N/A</v>
      </c>
      <c r="R13" s="306" t="s">
        <v>1023</v>
      </c>
      <c r="T13" s="22"/>
      <c r="U13" s="3"/>
    </row>
    <row r="14" spans="1:28" ht="11.25" customHeight="1">
      <c r="M14" s="425"/>
      <c r="N14" s="424"/>
      <c r="O14" s="424"/>
      <c r="P14" s="424"/>
      <c r="Q14" s="427"/>
      <c r="R14" s="428"/>
      <c r="S14" s="425"/>
      <c r="AA14" s="3"/>
    </row>
    <row r="15" spans="1:28" ht="11.25" customHeight="1">
      <c r="B15" s="501" t="s">
        <v>549</v>
      </c>
      <c r="C15" s="501" t="s">
        <v>550</v>
      </c>
      <c r="D15" s="501" t="s">
        <v>551</v>
      </c>
      <c r="E15" s="501" t="s">
        <v>744</v>
      </c>
      <c r="F15" s="501" t="s">
        <v>552</v>
      </c>
      <c r="H15" s="506" t="s">
        <v>549</v>
      </c>
      <c r="I15" s="501" t="s">
        <v>550</v>
      </c>
      <c r="J15" s="501" t="s">
        <v>551</v>
      </c>
      <c r="K15" s="501" t="s">
        <v>744</v>
      </c>
      <c r="L15" s="501" t="s">
        <v>552</v>
      </c>
      <c r="N15" s="481" t="s">
        <v>1111</v>
      </c>
      <c r="O15" s="484"/>
      <c r="P15" s="508"/>
      <c r="Q15" s="131" t="e">
        <f>Q6*Q12*Q10/Q44</f>
        <v>#N/A</v>
      </c>
      <c r="R15" s="127" t="str">
        <f>IF('FMTC Main'!E6="Metric","kg","lbs")</f>
        <v>lbs</v>
      </c>
    </row>
    <row r="16" spans="1:28" ht="11.25" customHeight="1">
      <c r="B16" s="502"/>
      <c r="C16" s="502"/>
      <c r="D16" s="502"/>
      <c r="E16" s="502"/>
      <c r="F16" s="502"/>
      <c r="H16" s="507"/>
      <c r="I16" s="502"/>
      <c r="J16" s="502"/>
      <c r="K16" s="502"/>
      <c r="L16" s="502"/>
      <c r="N16" s="517" t="str">
        <f>"Lateral Weight Transfer"&amp;" "&amp;IF('FMTC Main'!E5="Metric","(kg)","(lb)")</f>
        <v>Lateral Weight Transfer (lb)</v>
      </c>
      <c r="O16" s="518"/>
      <c r="P16" s="519"/>
      <c r="Q16" s="429" t="e">
        <f>(Q10*(Q8/'Calculation Data &amp; Factors'!A12)*('Calculation Data &amp; Factors'!A18)/('Tire Dynamics'!Q45*IF('FMTC Main'!E5="Metric",1,25.4))*'Calculation Data &amp; Factors'!A12)</f>
        <v>#N/A</v>
      </c>
      <c r="R16" s="429" t="e">
        <f>(Q10*(R8/'Calculation Data &amp; Factors'!A12)*('Calculation Data &amp; Factors'!A18)/('Tire Dynamics'!R45*IF('FMTC Main'!E5="Metric",1,25.4))*'Calculation Data &amp; Factors'!A12)</f>
        <v>#N/A</v>
      </c>
      <c r="T16" s="325"/>
      <c r="U16" s="325"/>
      <c r="V16" s="355"/>
    </row>
    <row r="17" spans="2:30" ht="11.25" customHeight="1">
      <c r="B17" s="177" t="e">
        <f>B24-Q16</f>
        <v>#N/A</v>
      </c>
      <c r="C17" s="39" t="e">
        <f>(('Tire Dynamics'!$B17*IF('FMTC Main'!$E$5="Metric",2.2046,1))/(($E$8)*IF('FMTC Main'!$E$5="Metric",14.5037738,1))/($E$13/IF('FMTC Main'!$E$5="Metric",0.0254,1)))*IF('FMTC Main'!$E$5="Metric",0.0254,1)</f>
        <v>#N/A</v>
      </c>
      <c r="D17" s="39" t="e">
        <f>(SQRT((($E$9/IF('FMTC Main'!$E$5="Metric",0.0254,1))^2)-(($C17/IF('FMTC Main'!$E$5="Metric",0.0254,1))/2)^2))*IF('FMTC Main'!$E$5="Metric",0.0254,1)</f>
        <v>#N/A</v>
      </c>
      <c r="E17" s="39" t="e">
        <f t="shared" ref="E17:E31" si="0">$E$9-$D17</f>
        <v>#N/A</v>
      </c>
      <c r="F17" s="38" t="e">
        <f>(((B17)*'Calculation Data &amp; Factors'!$A$11)/((E17)/IF('FMTC Main'!$E$5="Metric",0.0254,1)))*IF('FMTC Main'!$E$5="Metric",17.8579673,1)</f>
        <v>#N/A</v>
      </c>
      <c r="H17" s="177" t="e">
        <f>H24-R16</f>
        <v>#N/A</v>
      </c>
      <c r="I17" s="178" t="e">
        <f>(($H17*IF('FMTC Main'!$E$5="Metric",2.2046,1))/(($K$8)*IF('FMTC Main'!$E$5="Metric",14.5037738,1))/($K$13/IF('FMTC Main'!$E$5="Metric",0.0254,1)))*IF('FMTC Main'!$E$5="Metric",0.0254,1)</f>
        <v>#N/A</v>
      </c>
      <c r="J17" s="39" t="e">
        <f>(SQRT((($K$9/IF('FMTC Main'!$E$5="Metric",0.0254,1))^2)-(($I17/IF('FMTC Main'!$E$5="Metric",0.0254,1))/2)^2))*IF('FMTC Main'!$E$5="Metric",0.0254,1)</f>
        <v>#N/A</v>
      </c>
      <c r="K17" s="39" t="e">
        <f t="shared" ref="K17:K31" si="1">$K$9-$J17</f>
        <v>#N/A</v>
      </c>
      <c r="L17" s="38" t="e">
        <f>(((H17)*'Calculation Data &amp; Factors'!$A$11)/((K17)/IF('FMTC Main'!$E$5="Metric",0.0254,1)))*IF('FMTC Main'!$E$5="Metric",17.8579673,1)</f>
        <v>#N/A</v>
      </c>
      <c r="N17" s="481" t="str">
        <f>"Natural Frequency (Hz)"</f>
        <v>Natural Frequency (Hz)</v>
      </c>
      <c r="O17" s="484"/>
      <c r="P17" s="484"/>
      <c r="Q17" s="166" t="e">
        <f>1/(2*PI())*SQRT(('FMTC Main'!Q7/IF('FMTC Main'!E5="Metric",0.00101971621,0.00571014715))/('Tire Dynamics'!Q8/2/'Calculation Data &amp; Factors'!A12))</f>
        <v>#N/A</v>
      </c>
      <c r="R17" s="166" t="e">
        <f>1/(2*PI())*SQRT(('FMTC Main'!Q8/IF('FMTC Main'!E5="Metric",0.00101971621,0.00571014715))/('Tire Dynamics'!R8/2/'Calculation Data &amp; Factors'!A12))</f>
        <v>#N/A</v>
      </c>
      <c r="S17" s="201"/>
      <c r="Y17" s="3"/>
      <c r="Z17" s="3"/>
      <c r="AA17" s="3"/>
    </row>
    <row r="18" spans="2:30" ht="11.25" customHeight="1">
      <c r="B18" s="38" t="e">
        <f>'Tire Dynamics'!$B17+(($B$24-'Tire Dynamics'!$B$17)/7)</f>
        <v>#N/A</v>
      </c>
      <c r="C18" s="39" t="e">
        <f>(($B18*IF('FMTC Main'!$E$5="Metric",2.2046,1))/(($E$8)*IF('FMTC Main'!$E$5="Metric",14.5037738,1))/($E$13/IF('FMTC Main'!$E$5="Metric",0.0254,1)))*IF('FMTC Main'!$E$5="Metric",0.0254,1)</f>
        <v>#N/A</v>
      </c>
      <c r="D18" s="39" t="e">
        <f>(SQRT((($E$9/IF('FMTC Main'!$E$5="Metric",0.0254,1))^2)-(($C18/IF('FMTC Main'!$E$5="Metric",0.0254,1))/2)^2))*IF('FMTC Main'!$E$5="Metric",0.0254,1)</f>
        <v>#N/A</v>
      </c>
      <c r="E18" s="39" t="e">
        <f t="shared" si="0"/>
        <v>#N/A</v>
      </c>
      <c r="F18" s="38" t="e">
        <f>(((B18)*'Calculation Data &amp; Factors'!$A$11)/((E18)/IF('FMTC Main'!$E$5="Metric",0.0254,1)))*IF('FMTC Main'!$E$5="Metric",17.8579673,1)</f>
        <v>#N/A</v>
      </c>
      <c r="H18" s="38" t="e">
        <f t="shared" ref="H18:H23" si="2">$H17+(($H$24-$H$17)/7)</f>
        <v>#N/A</v>
      </c>
      <c r="I18" s="178" t="e">
        <f>(($H18*IF('FMTC Main'!$E$5="Metric",2.2046,1))/(($K$8)*IF('FMTC Main'!$E$5="Metric",14.5037738,1))/($K$13/IF('FMTC Main'!$E$5="Metric",0.0254,1)))*IF('FMTC Main'!$E$5="Metric",0.0254,1)</f>
        <v>#N/A</v>
      </c>
      <c r="J18" s="39" t="e">
        <f>(SQRT((($K$9/IF('FMTC Main'!$E$5="Metric",0.0254,1))^2)-(($I18/IF('FMTC Main'!$E$5="Metric",0.0254,1))/2)^2))*IF('FMTC Main'!$E$5="Metric",0.0254,1)</f>
        <v>#N/A</v>
      </c>
      <c r="K18" s="39" t="e">
        <f t="shared" si="1"/>
        <v>#N/A</v>
      </c>
      <c r="L18" s="38" t="e">
        <f>(((H18)*'Calculation Data &amp; Factors'!$A$11)/((K18)/IF('FMTC Main'!$E$5="Metric",0.0254,1)))*IF('FMTC Main'!$E$5="Metric",17.8579673,1)</f>
        <v>#N/A</v>
      </c>
      <c r="N18" s="481" t="s">
        <v>666</v>
      </c>
      <c r="O18" s="484"/>
      <c r="P18" s="484"/>
      <c r="Q18" s="533">
        <v>0.98</v>
      </c>
      <c r="R18" s="534"/>
      <c r="Z18" s="3"/>
      <c r="AA18" s="3"/>
    </row>
    <row r="19" spans="2:30" ht="11.25" customHeight="1">
      <c r="B19" s="38" t="e">
        <f>$B18+(($B$24-'Tire Dynamics'!$B$17)/7)</f>
        <v>#N/A</v>
      </c>
      <c r="C19" s="39" t="e">
        <f>(($B19*IF('FMTC Main'!$E$5="Metric",2.2046,1))/(($E$8)*IF('FMTC Main'!$E$5="Metric",14.5037738,1))/($E$13/IF('FMTC Main'!$E$5="Metric",0.0254,1)))*IF('FMTC Main'!$E$5="Metric",0.0254,1)</f>
        <v>#N/A</v>
      </c>
      <c r="D19" s="39" t="e">
        <f>(SQRT((($E$9/IF('FMTC Main'!$E$5="Metric",0.0254,1))^2)-(($C19/IF('FMTC Main'!$E$5="Metric",0.0254,1))/2)^2))*IF('FMTC Main'!$E$5="Metric",0.0254,1)</f>
        <v>#N/A</v>
      </c>
      <c r="E19" s="39" t="e">
        <f t="shared" si="0"/>
        <v>#N/A</v>
      </c>
      <c r="F19" s="38" t="e">
        <f>(((B19)*'Calculation Data &amp; Factors'!$A$11)/((E19)/IF('FMTC Main'!$E$5="Metric",0.0254,1)))*IF('FMTC Main'!$E$5="Metric",17.8579673,1)</f>
        <v>#N/A</v>
      </c>
      <c r="H19" s="38" t="e">
        <f t="shared" si="2"/>
        <v>#N/A</v>
      </c>
      <c r="I19" s="178" t="e">
        <f>(($H19*IF('FMTC Main'!$E$5="Metric",2.2046,1))/(($K$8)*IF('FMTC Main'!$E$5="Metric",14.5037738,1))/($K$13/IF('FMTC Main'!$E$5="Metric",0.0254,1)))*IF('FMTC Main'!$E$5="Metric",0.0254,1)</f>
        <v>#N/A</v>
      </c>
      <c r="J19" s="39" t="e">
        <f>(SQRT((($K$9/IF('FMTC Main'!$E$5="Metric",0.0254,1))^2)-(($I19/IF('FMTC Main'!$E$5="Metric",0.0254,1))/2)^2))*IF('FMTC Main'!$E$5="Metric",0.0254,1)</f>
        <v>#N/A</v>
      </c>
      <c r="K19" s="39" t="e">
        <f t="shared" si="1"/>
        <v>#N/A</v>
      </c>
      <c r="L19" s="38" t="e">
        <f>(((H19)*'Calculation Data &amp; Factors'!$A$11)/((K19)/IF('FMTC Main'!$E$5="Metric",0.0254,1)))*IF('FMTC Main'!$E$5="Metric",17.8579673,1)</f>
        <v>#N/A</v>
      </c>
      <c r="N19" s="481" t="s">
        <v>670</v>
      </c>
      <c r="O19" s="484"/>
      <c r="P19" s="484"/>
      <c r="Q19" s="531">
        <v>0.7</v>
      </c>
      <c r="R19" s="532"/>
      <c r="Z19" s="3"/>
      <c r="AA19" s="3"/>
    </row>
    <row r="20" spans="2:30" ht="11.25" customHeight="1">
      <c r="B20" s="38" t="e">
        <f>$B19+(($B$24-'Tire Dynamics'!$B$17)/7)</f>
        <v>#N/A</v>
      </c>
      <c r="C20" s="39" t="e">
        <f>(($B20*IF('FMTC Main'!$E$5="Metric",2.2046,1))/(($E$8)*IF('FMTC Main'!$E$5="Metric",14.5037738,1))/($E$13/IF('FMTC Main'!$E$5="Metric",0.0254,1)))*IF('FMTC Main'!$E$5="Metric",0.0254,1)</f>
        <v>#N/A</v>
      </c>
      <c r="D20" s="39" t="e">
        <f>(SQRT((($E$9/IF('FMTC Main'!$E$5="Metric",0.0254,1))^2)-(($C20/IF('FMTC Main'!$E$5="Metric",0.0254,1))/2)^2))*IF('FMTC Main'!$E$5="Metric",0.0254,1)</f>
        <v>#N/A</v>
      </c>
      <c r="E20" s="39" t="e">
        <f t="shared" si="0"/>
        <v>#N/A</v>
      </c>
      <c r="F20" s="38" t="e">
        <f>(((B20)*'Calculation Data &amp; Factors'!$A$11)/((E20)/IF('FMTC Main'!$E$5="Metric",0.0254,1)))*IF('FMTC Main'!$E$5="Metric",17.8579673,1)</f>
        <v>#N/A</v>
      </c>
      <c r="H20" s="38" t="e">
        <f t="shared" si="2"/>
        <v>#N/A</v>
      </c>
      <c r="I20" s="178" t="e">
        <f>(($H20*IF('FMTC Main'!$E$5="Metric",2.2046,1))/(($K$8)*IF('FMTC Main'!$E$5="Metric",14.5037738,1))/($K$13/IF('FMTC Main'!$E$5="Metric",0.0254,1)))*IF('FMTC Main'!$E$5="Metric",0.0254,1)</f>
        <v>#N/A</v>
      </c>
      <c r="J20" s="39" t="e">
        <f>(SQRT((($K$9/IF('FMTC Main'!$E$5="Metric",0.0254,1))^2)-(($I20/IF('FMTC Main'!$E$5="Metric",0.0254,1))/2)^2))*IF('FMTC Main'!$E$5="Metric",0.0254,1)</f>
        <v>#N/A</v>
      </c>
      <c r="K20" s="39" t="e">
        <f t="shared" si="1"/>
        <v>#N/A</v>
      </c>
      <c r="L20" s="38" t="e">
        <f>(((H20)*'Calculation Data &amp; Factors'!$A$11)/((K20)/IF('FMTC Main'!$E$5="Metric",0.0254,1)))*IF('FMTC Main'!$E$5="Metric",17.8579673,1)</f>
        <v>#N/A</v>
      </c>
      <c r="N20" s="481" t="s">
        <v>667</v>
      </c>
      <c r="O20" s="484"/>
      <c r="P20" s="484"/>
      <c r="Q20" s="527" t="s">
        <v>671</v>
      </c>
      <c r="R20" s="528"/>
      <c r="Z20" s="3"/>
      <c r="AA20" s="3"/>
    </row>
    <row r="21" spans="2:30" ht="11.25" customHeight="1">
      <c r="B21" s="38" t="e">
        <f>$B20+(($B$24-'Tire Dynamics'!$B$17)/7)</f>
        <v>#N/A</v>
      </c>
      <c r="C21" s="39" t="e">
        <f>(($B21*IF('FMTC Main'!$E$5="Metric",2.2046,1))/(($E$8)*IF('FMTC Main'!$E$5="Metric",14.5037738,1))/($E$13/IF('FMTC Main'!$E$5="Metric",0.0254,1)))*IF('FMTC Main'!$E$5="Metric",0.0254,1)</f>
        <v>#N/A</v>
      </c>
      <c r="D21" s="39" t="e">
        <f>(SQRT((($E$9/IF('FMTC Main'!$E$5="Metric",0.0254,1))^2)-(($C21/IF('FMTC Main'!$E$5="Metric",0.0254,1))/2)^2))*IF('FMTC Main'!$E$5="Metric",0.0254,1)</f>
        <v>#N/A</v>
      </c>
      <c r="E21" s="39" t="e">
        <f t="shared" si="0"/>
        <v>#N/A</v>
      </c>
      <c r="F21" s="38" t="e">
        <f>(((B21)*'Calculation Data &amp; Factors'!$A$11)/((E21)/IF('FMTC Main'!$E$5="Metric",0.0254,1)))*IF('FMTC Main'!$E$5="Metric",17.8579673,1)</f>
        <v>#N/A</v>
      </c>
      <c r="H21" s="38" t="e">
        <f t="shared" si="2"/>
        <v>#N/A</v>
      </c>
      <c r="I21" s="178" t="e">
        <f>(($H21*IF('FMTC Main'!$E$5="Metric",2.2046,1))/(($K$8)*IF('FMTC Main'!$E$5="Metric",14.5037738,1))/($K$13/IF('FMTC Main'!$E$5="Metric",0.0254,1)))*IF('FMTC Main'!$E$5="Metric",0.0254,1)</f>
        <v>#N/A</v>
      </c>
      <c r="J21" s="39" t="e">
        <f>(SQRT((($K$9/IF('FMTC Main'!$E$5="Metric",0.0254,1))^2)-(($I21/IF('FMTC Main'!$E$5="Metric",0.0254,1))/2)^2))*IF('FMTC Main'!$E$5="Metric",0.0254,1)</f>
        <v>#N/A</v>
      </c>
      <c r="K21" s="39" t="e">
        <f t="shared" si="1"/>
        <v>#N/A</v>
      </c>
      <c r="L21" s="38" t="e">
        <f>(((H21)*'Calculation Data &amp; Factors'!$A$11)/((K21)/IF('FMTC Main'!$E$5="Metric",0.0254,1)))*IF('FMTC Main'!$E$5="Metric",17.8579673,1)</f>
        <v>#N/A</v>
      </c>
      <c r="N21" s="481" t="str">
        <f>"Wheel Rate"&amp;" "&amp;IF('FMTC Main'!E5="Metric","(kgf/m)","(lbf/in)")</f>
        <v>Wheel Rate (lbf/in)</v>
      </c>
      <c r="O21" s="484"/>
      <c r="P21" s="508"/>
      <c r="Q21" s="161" t="e">
        <f>('FMTC Main'!W19)/'Calculation Data &amp; Factors'!A21/'Tire Dynamics'!Q18^2*IF('FMTC Main'!E5="Metric",0.101971621,0.00571014715)</f>
        <v>#N/A</v>
      </c>
      <c r="R21" s="161" t="e">
        <f>('FMTC Main'!X19)/'Calculation Data &amp; Factors'!A21/Q18^2*IF('FMTC Main'!E5="Metric",0.101971621,0.00571014715)</f>
        <v>#N/A</v>
      </c>
      <c r="V21" s="355"/>
      <c r="Z21" s="3"/>
      <c r="AA21" s="3"/>
    </row>
    <row r="22" spans="2:30" ht="11.25" customHeight="1">
      <c r="B22" s="38" t="e">
        <f>$B21+(($B$24-'Tire Dynamics'!$B$17)/7)</f>
        <v>#N/A</v>
      </c>
      <c r="C22" s="39" t="e">
        <f>(($B22*IF('FMTC Main'!$E$5="Metric",2.2046,1))/(($E$8)*IF('FMTC Main'!$E$5="Metric",14.5037738,1))/($E$13/IF('FMTC Main'!$E$5="Metric",0.0254,1)))*IF('FMTC Main'!$E$5="Metric",0.0254,1)</f>
        <v>#N/A</v>
      </c>
      <c r="D22" s="39" t="e">
        <f>(SQRT((($E$9/IF('FMTC Main'!$E$5="Metric",0.0254,1))^2)-(($C22/IF('FMTC Main'!$E$5="Metric",0.0254,1))/2)^2))*IF('FMTC Main'!$E$5="Metric",0.0254,1)</f>
        <v>#N/A</v>
      </c>
      <c r="E22" s="39" t="e">
        <f t="shared" si="0"/>
        <v>#N/A</v>
      </c>
      <c r="F22" s="38" t="e">
        <f>(((B22)*'Calculation Data &amp; Factors'!$A$11)/((E22)/IF('FMTC Main'!$E$5="Metric",0.0254,1)))*IF('FMTC Main'!$E$5="Metric",17.8579673,1)</f>
        <v>#N/A</v>
      </c>
      <c r="H22" s="38" t="e">
        <f t="shared" si="2"/>
        <v>#N/A</v>
      </c>
      <c r="I22" s="178" t="e">
        <f>(($H22*IF('FMTC Main'!$E$5="Metric",2.2046,1))/(($K$8)*IF('FMTC Main'!$E$5="Metric",14.5037738,1))/($K$13/IF('FMTC Main'!$E$5="Metric",0.0254,1)))*IF('FMTC Main'!$E$5="Metric",0.0254,1)</f>
        <v>#N/A</v>
      </c>
      <c r="J22" s="39" t="e">
        <f>(SQRT((($K$9/IF('FMTC Main'!$E$5="Metric",0.0254,1))^2)-(($I22/IF('FMTC Main'!$E$5="Metric",0.0254,1))/2)^2))*IF('FMTC Main'!$E$5="Metric",0.0254,1)</f>
        <v>#N/A</v>
      </c>
      <c r="K22" s="39" t="e">
        <f t="shared" si="1"/>
        <v>#N/A</v>
      </c>
      <c r="L22" s="38" t="e">
        <f>(((H22)*'Calculation Data &amp; Factors'!$A$11)/((K22)/IF('FMTC Main'!$E$5="Metric",0.0254,1)))*IF('FMTC Main'!$E$5="Metric",17.8579673,1)</f>
        <v>#N/A</v>
      </c>
      <c r="Y22" s="3"/>
      <c r="Z22" s="3"/>
      <c r="AA22" s="3"/>
    </row>
    <row r="23" spans="2:30" ht="11.25" customHeight="1">
      <c r="B23" s="38" t="e">
        <f>$B22+(($B$24-'Tire Dynamics'!$B$17)/7)</f>
        <v>#N/A</v>
      </c>
      <c r="C23" s="39" t="e">
        <f>(($B23*IF('FMTC Main'!$E$5="Metric",2.2046,1))/(($E$8)*IF('FMTC Main'!$E$5="Metric",14.5037738,1))/($E$13/IF('FMTC Main'!$E$5="Metric",0.0254,1)))*IF('FMTC Main'!$E$5="Metric",0.0254,1)</f>
        <v>#N/A</v>
      </c>
      <c r="D23" s="39" t="e">
        <f>(SQRT((($E$9/IF('FMTC Main'!$E$5="Metric",0.0254,1))^2)-(($C23/IF('FMTC Main'!$E$5="Metric",0.0254,1))/2)^2))*IF('FMTC Main'!$E$5="Metric",0.0254,1)</f>
        <v>#N/A</v>
      </c>
      <c r="E23" s="39" t="e">
        <f t="shared" si="0"/>
        <v>#N/A</v>
      </c>
      <c r="F23" s="38" t="e">
        <f>(((B23)*'Calculation Data &amp; Factors'!$A$11)/((E23)/IF('FMTC Main'!$E$5="Metric",0.0254,1)))*IF('FMTC Main'!$E$5="Metric",17.8579673,1)</f>
        <v>#N/A</v>
      </c>
      <c r="H23" s="38" t="e">
        <f t="shared" si="2"/>
        <v>#N/A</v>
      </c>
      <c r="I23" s="178" t="e">
        <f>(($H23*IF('FMTC Main'!$E$5="Metric",2.2046,1))/(($K$8)*IF('FMTC Main'!$E$5="Metric",14.5037738,1))/($K$13/IF('FMTC Main'!$E$5="Metric",0.0254,1)))*IF('FMTC Main'!$E$5="Metric",0.0254,1)</f>
        <v>#N/A</v>
      </c>
      <c r="J23" s="39" t="e">
        <f>(SQRT((($K$9/IF('FMTC Main'!$E$5="Metric",0.0254,1))^2)-(($I23/IF('FMTC Main'!$E$5="Metric",0.0254,1))/2)^2))*IF('FMTC Main'!$E$5="Metric",0.0254,1)</f>
        <v>#N/A</v>
      </c>
      <c r="K23" s="39" t="e">
        <f t="shared" si="1"/>
        <v>#N/A</v>
      </c>
      <c r="L23" s="38" t="e">
        <f>(((H23)*'Calculation Data &amp; Factors'!$A$11)/((K23)/IF('FMTC Main'!$E$5="Metric",0.0254,1)))*IF('FMTC Main'!$E$5="Metric",17.8579673,1)</f>
        <v>#N/A</v>
      </c>
      <c r="N23" s="524" t="s">
        <v>558</v>
      </c>
      <c r="O23" s="525"/>
      <c r="P23" s="526"/>
      <c r="Q23" s="49"/>
      <c r="R23" s="49"/>
    </row>
    <row r="24" spans="2:30" ht="11.25" customHeight="1">
      <c r="B24" s="177">
        <f>Q8/2</f>
        <v>0</v>
      </c>
      <c r="C24" s="39" t="e">
        <f>(($B24*IF('FMTC Main'!$E$5="Metric",2.2046,1))/(($E$8)*IF('FMTC Main'!$E$5="Metric",14.5037738,1))/($E$13/IF('FMTC Main'!$E$5="Metric",0.0254,1)))*IF('FMTC Main'!$E$5="Metric",0.0254,1)</f>
        <v>#DIV/0!</v>
      </c>
      <c r="D24" s="39" t="e">
        <f>(SQRT((($E$9/IF('FMTC Main'!$E$5="Metric",0.0254,1))^2)-(($C24/IF('FMTC Main'!$E$5="Metric",0.0254,1))/2)^2))*IF('FMTC Main'!$E$5="Metric",0.0254,1)</f>
        <v>#DIV/0!</v>
      </c>
      <c r="E24" s="39" t="e">
        <f t="shared" si="0"/>
        <v>#DIV/0!</v>
      </c>
      <c r="F24" s="38" t="e">
        <f>(((B24)*'Calculation Data &amp; Factors'!$A$11)/((E24)/IF('FMTC Main'!$E$5="Metric",0.0254,1)))*IF('FMTC Main'!$E$5="Metric",17.8579673,1)</f>
        <v>#DIV/0!</v>
      </c>
      <c r="H24" s="177">
        <f>R8/2</f>
        <v>0</v>
      </c>
      <c r="I24" s="178" t="e">
        <f>(($H24*IF('FMTC Main'!$E$5="Metric",2.2046,1))/(($K$8)*IF('FMTC Main'!$E$5="Metric",14.5037738,1))/($K$13/IF('FMTC Main'!$E$5="Metric",0.0254,1)))*IF('FMTC Main'!$E$5="Metric",0.0254,1)</f>
        <v>#DIV/0!</v>
      </c>
      <c r="J24" s="39" t="e">
        <f>(SQRT((($K$9/IF('FMTC Main'!$E$5="Metric",0.0254,1))^2)-(($I24/IF('FMTC Main'!$E$5="Metric",0.0254,1))/2)^2))*IF('FMTC Main'!$E$5="Metric",0.0254,1)</f>
        <v>#DIV/0!</v>
      </c>
      <c r="K24" s="39" t="e">
        <f t="shared" si="1"/>
        <v>#DIV/0!</v>
      </c>
      <c r="L24" s="38" t="e">
        <f>(((H24)*'Calculation Data &amp; Factors'!$A$11)/((K24)/IF('FMTC Main'!$E$5="Metric",0.0254,1)))*IF('FMTC Main'!$E$5="Metric",17.8579673,1)</f>
        <v>#DIV/0!</v>
      </c>
      <c r="N24" s="510" t="s">
        <v>661</v>
      </c>
      <c r="O24" s="511"/>
      <c r="P24" s="512"/>
      <c r="Q24" s="133">
        <f>(PI()*(E10/2)^2*E13)*IF('FMTC Main'!E5="Metric",1000,0.016387064)</f>
        <v>0</v>
      </c>
      <c r="R24" s="133">
        <f>(PI()*(K10/2)^2*K13)*IF('FMTC Main'!E5="Metric",1000,0.016387064)</f>
        <v>0</v>
      </c>
    </row>
    <row r="25" spans="2:30" ht="11.25" customHeight="1">
      <c r="B25" s="38" t="e">
        <f t="shared" ref="B25:B30" si="3">$B24+(($B$31-$B$24)/7)</f>
        <v>#N/A</v>
      </c>
      <c r="C25" s="39" t="e">
        <f>(($B25*IF('FMTC Main'!$E$5="Metric",2.2046,1))/(($E$8)*IF('FMTC Main'!$E$5="Metric",14.5037738,1))/($E$13/IF('FMTC Main'!$E$5="Metric",0.0254,1)))*IF('FMTC Main'!$E$5="Metric",0.0254,1)</f>
        <v>#N/A</v>
      </c>
      <c r="D25" s="39" t="e">
        <f>(SQRT((($E$9/IF('FMTC Main'!$E$5="Metric",0.0254,1))^2)-(($C25/IF('FMTC Main'!$E$5="Metric",0.0254,1))/2)^2))*IF('FMTC Main'!$E$5="Metric",0.0254,1)</f>
        <v>#N/A</v>
      </c>
      <c r="E25" s="39" t="e">
        <f t="shared" si="0"/>
        <v>#N/A</v>
      </c>
      <c r="F25" s="38" t="e">
        <f>(((B25)*'Calculation Data &amp; Factors'!$A$11)/((E25)/IF('FMTC Main'!$E$5="Metric",0.0254,1)))*IF('FMTC Main'!$E$5="Metric",17.8579673,1)</f>
        <v>#N/A</v>
      </c>
      <c r="H25" s="38" t="e">
        <f t="shared" ref="H25:H30" si="4">$H24+(($H$31-$H$24)/7)</f>
        <v>#N/A</v>
      </c>
      <c r="I25" s="178" t="e">
        <f>(($H25*IF('FMTC Main'!$E$5="Metric",2.2046,1))/(($K$8)*IF('FMTC Main'!$E$5="Metric",14.5037738,1))/($K$13/IF('FMTC Main'!$E$5="Metric",0.0254,1)))*IF('FMTC Main'!$E$5="Metric",0.0254,1)</f>
        <v>#N/A</v>
      </c>
      <c r="J25" s="39" t="e">
        <f>(SQRT((($K$9/IF('FMTC Main'!$E$5="Metric",0.0254,1))^2)-(($I25/IF('FMTC Main'!$E$5="Metric",0.0254,1))/2)^2))*IF('FMTC Main'!$E$5="Metric",0.0254,1)</f>
        <v>#N/A</v>
      </c>
      <c r="K25" s="39" t="e">
        <f t="shared" si="1"/>
        <v>#N/A</v>
      </c>
      <c r="L25" s="38" t="e">
        <f>(((H25)*'Calculation Data &amp; Factors'!$A$11)/((K25)/IF('FMTC Main'!$E$5="Metric",0.0254,1)))*IF('FMTC Main'!$E$5="Metric",17.8579673,1)</f>
        <v>#N/A</v>
      </c>
      <c r="N25" s="510" t="s">
        <v>658</v>
      </c>
      <c r="O25" s="511"/>
      <c r="P25" s="512"/>
      <c r="Q25" s="144">
        <f>MROUND(32.5*IF('FMTC Main'!E5="Metric",0.0689475729,1),IF('FMTC Main'!E5="Metric",0.01,0.5))</f>
        <v>32.5</v>
      </c>
      <c r="R25" s="116" t="str">
        <f>IF('FMTC Main'!E5="Metric","bar","psi")</f>
        <v>psi</v>
      </c>
      <c r="AD25" s="49"/>
    </row>
    <row r="26" spans="2:30" ht="11.25" customHeight="1">
      <c r="B26" s="38" t="e">
        <f t="shared" si="3"/>
        <v>#N/A</v>
      </c>
      <c r="C26" s="39" t="e">
        <f>(($B26*IF('FMTC Main'!$E$5="Metric",2.2046,1))/(($E$8)*IF('FMTC Main'!$E$5="Metric",14.5037738,1))/($E$13/IF('FMTC Main'!$E$5="Metric",0.0254,1)))*IF('FMTC Main'!$E$5="Metric",0.0254,1)</f>
        <v>#N/A</v>
      </c>
      <c r="D26" s="39" t="e">
        <f>(SQRT((($E$9/IF('FMTC Main'!$E$5="Metric",0.0254,1))^2)-(($C26/IF('FMTC Main'!$E$5="Metric",0.0254,1))/2)^2))*IF('FMTC Main'!$E$5="Metric",0.0254,1)</f>
        <v>#N/A</v>
      </c>
      <c r="E26" s="39" t="e">
        <f t="shared" si="0"/>
        <v>#N/A</v>
      </c>
      <c r="F26" s="38" t="e">
        <f>(((B26)*'Calculation Data &amp; Factors'!$A$11)/((E26)/IF('FMTC Main'!$E$5="Metric",0.0254,1)))*IF('FMTC Main'!$E$5="Metric",17.8579673,1)</f>
        <v>#N/A</v>
      </c>
      <c r="H26" s="38" t="e">
        <f t="shared" si="4"/>
        <v>#N/A</v>
      </c>
      <c r="I26" s="178" t="e">
        <f>(($H26*IF('FMTC Main'!$E$5="Metric",2.2046,1))/(($K$8)*IF('FMTC Main'!$E$5="Metric",14.5037738,1))/($K$13/IF('FMTC Main'!$E$5="Metric",0.0254,1)))*IF('FMTC Main'!$E$5="Metric",0.0254,1)</f>
        <v>#N/A</v>
      </c>
      <c r="J26" s="39" t="e">
        <f>(SQRT((($K$9/IF('FMTC Main'!$E$5="Metric",0.0254,1))^2)-(($I26/IF('FMTC Main'!$E$5="Metric",0.0254,1))/2)^2))*IF('FMTC Main'!$E$5="Metric",0.0254,1)</f>
        <v>#N/A</v>
      </c>
      <c r="K26" s="39" t="e">
        <f t="shared" si="1"/>
        <v>#N/A</v>
      </c>
      <c r="L26" s="38" t="e">
        <f>(((H26)*'Calculation Data &amp; Factors'!$A$11)/((K26)/IF('FMTC Main'!$E$5="Metric",0.0254,1)))*IF('FMTC Main'!$E$5="Metric",17.8579673,1)</f>
        <v>#N/A</v>
      </c>
      <c r="N26" s="510" t="s">
        <v>659</v>
      </c>
      <c r="O26" s="511"/>
      <c r="P26" s="512"/>
      <c r="Q26" s="134">
        <f>IF('FMTC Main'!E5="Metric",(200-32)/(1.8),200)</f>
        <v>200</v>
      </c>
      <c r="R26" s="116" t="str">
        <f>IF('FMTC Main'!E5="Metric","°C","°F")</f>
        <v>°F</v>
      </c>
    </row>
    <row r="27" spans="2:30" ht="11.25" customHeight="1">
      <c r="B27" s="38" t="e">
        <f t="shared" si="3"/>
        <v>#N/A</v>
      </c>
      <c r="C27" s="39" t="e">
        <f>(($B27*IF('FMTC Main'!$E$5="Metric",2.2046,1))/(($E$8)*IF('FMTC Main'!$E$5="Metric",14.5037738,1))/($E$13/IF('FMTC Main'!$E$5="Metric",0.0254,1)))*IF('FMTC Main'!$E$5="Metric",0.0254,1)</f>
        <v>#N/A</v>
      </c>
      <c r="D27" s="39" t="e">
        <f>(SQRT((($E$9/IF('FMTC Main'!$E$5="Metric",0.0254,1))^2)-(($C27/IF('FMTC Main'!$E$5="Metric",0.0254,1))/2)^2))*IF('FMTC Main'!$E$5="Metric",0.0254,1)</f>
        <v>#N/A</v>
      </c>
      <c r="E27" s="39" t="e">
        <f t="shared" si="0"/>
        <v>#N/A</v>
      </c>
      <c r="F27" s="38" t="e">
        <f>(((B27)*'Calculation Data &amp; Factors'!$A$11)/((E27)/IF('FMTC Main'!$E$5="Metric",0.0254,1)))*IF('FMTC Main'!$E$5="Metric",17.8579673,1)</f>
        <v>#N/A</v>
      </c>
      <c r="H27" s="38" t="e">
        <f t="shared" si="4"/>
        <v>#N/A</v>
      </c>
      <c r="I27" s="178" t="e">
        <f>(($H27*IF('FMTC Main'!$E$5="Metric",2.2046,1))/(($K$8)*IF('FMTC Main'!$E$5="Metric",14.5037738,1))/($K$13/IF('FMTC Main'!$E$5="Metric",0.0254,1)))*IF('FMTC Main'!$E$5="Metric",0.0254,1)</f>
        <v>#N/A</v>
      </c>
      <c r="J27" s="39" t="e">
        <f>(SQRT((($K$9/IF('FMTC Main'!$E$5="Metric",0.0254,1))^2)-(($I27/IF('FMTC Main'!$E$5="Metric",0.0254,1))/2)^2))*IF('FMTC Main'!$E$5="Metric",0.0254,1)</f>
        <v>#N/A</v>
      </c>
      <c r="K27" s="39" t="e">
        <f t="shared" si="1"/>
        <v>#N/A</v>
      </c>
      <c r="L27" s="38" t="e">
        <f>(((H27)*'Calculation Data &amp; Factors'!$A$11)/((K27)/IF('FMTC Main'!$E$5="Metric",0.0254,1)))*IF('FMTC Main'!$E$5="Metric",17.8579673,1)</f>
        <v>#N/A</v>
      </c>
      <c r="N27" s="510" t="s">
        <v>660</v>
      </c>
      <c r="O27" s="511"/>
      <c r="P27" s="512"/>
      <c r="Q27" s="134">
        <f>IF('FMTC Main'!E5="Metric",(120-32)/(1.8),120)</f>
        <v>120</v>
      </c>
      <c r="R27" s="116" t="str">
        <f>IF('FMTC Main'!E5="Metric","°C","°F")</f>
        <v>°F</v>
      </c>
    </row>
    <row r="28" spans="2:30" ht="11.25" customHeight="1">
      <c r="B28" s="38" t="e">
        <f t="shared" si="3"/>
        <v>#N/A</v>
      </c>
      <c r="C28" s="39" t="e">
        <f>(($B28*IF('FMTC Main'!$E$5="Metric",2.2046,1))/(($E$8)*IF('FMTC Main'!$E$5="Metric",14.5037738,1))/($E$13/IF('FMTC Main'!$E$5="Metric",0.0254,1)))*IF('FMTC Main'!$E$5="Metric",0.0254,1)</f>
        <v>#N/A</v>
      </c>
      <c r="D28" s="39" t="e">
        <f>(SQRT((($E$9/IF('FMTC Main'!$E$5="Metric",0.0254,1))^2)-(($C28/IF('FMTC Main'!$E$5="Metric",0.0254,1))/2)^2))*IF('FMTC Main'!$E$5="Metric",0.0254,1)</f>
        <v>#N/A</v>
      </c>
      <c r="E28" s="39" t="e">
        <f t="shared" si="0"/>
        <v>#N/A</v>
      </c>
      <c r="F28" s="38" t="e">
        <f>(((B28)*'Calculation Data &amp; Factors'!$A$11)/((E28)/IF('FMTC Main'!$E$5="Metric",0.0254,1)))*IF('FMTC Main'!$E$5="Metric",17.8579673,1)</f>
        <v>#N/A</v>
      </c>
      <c r="H28" s="38" t="e">
        <f t="shared" si="4"/>
        <v>#N/A</v>
      </c>
      <c r="I28" s="178" t="e">
        <f>(($H28*IF('FMTC Main'!$E$5="Metric",2.2046,1))/(($K$8)*IF('FMTC Main'!$E$5="Metric",14.5037738,1))/($K$13/IF('FMTC Main'!$E$5="Metric",0.0254,1)))*IF('FMTC Main'!$E$5="Metric",0.0254,1)</f>
        <v>#N/A</v>
      </c>
      <c r="J28" s="39" t="e">
        <f>(SQRT((($K$9/IF('FMTC Main'!$E$5="Metric",0.0254,1))^2)-(($I28/IF('FMTC Main'!$E$5="Metric",0.0254,1))/2)^2))*IF('FMTC Main'!$E$5="Metric",0.0254,1)</f>
        <v>#N/A</v>
      </c>
      <c r="K28" s="39" t="e">
        <f t="shared" si="1"/>
        <v>#N/A</v>
      </c>
      <c r="L28" s="38" t="e">
        <f>(((H28)*'Calculation Data &amp; Factors'!$A$11)/((K28)/IF('FMTC Main'!$E$5="Metric",0.0254,1)))*IF('FMTC Main'!$E$5="Metric",17.8579673,1)</f>
        <v>#N/A</v>
      </c>
      <c r="N28" s="510" t="s">
        <v>662</v>
      </c>
      <c r="O28" s="511"/>
      <c r="P28" s="512"/>
      <c r="Q28" s="155">
        <f>(IF(Q29="",Q25*'Calculation Data &amp; Factors'!A15,Q29*'Calculation Data &amp; Factors'!A15))*('Tire Dynamics'!Q24*1000)/(IF(Q30="",IF('FMTC Main'!E5="Metric",'Tire Dynamics'!Q26+273.15,('Tire Dynamics'!Q26-32)/(1.8)+273.15),IF('FMTC Main'!E5="Metric",Q30+273.15,(Q30-32)/(1.8)+273.15)))</f>
        <v>0</v>
      </c>
      <c r="R28" s="155">
        <f>(IF(R29="",Q25*'Calculation Data &amp; Factors'!A15,R29*'Calculation Data &amp; Factors'!A15))*(R24*1000)/(IF(R30="",IF('FMTC Main'!E5="Metric",'Tire Dynamics'!Q26+273.15,('Tire Dynamics'!Q26-32)/(1.8)+273.15),IF('FMTC Main'!E5="Metric",R30+273.15,(R30-32)/(1.8)+273.15)))</f>
        <v>0</v>
      </c>
    </row>
    <row r="29" spans="2:30" ht="11.25" customHeight="1">
      <c r="B29" s="38" t="e">
        <f t="shared" si="3"/>
        <v>#N/A</v>
      </c>
      <c r="C29" s="39" t="e">
        <f>(($B29*IF('FMTC Main'!$E$5="Metric",2.2046,1))/(($E$8)*IF('FMTC Main'!$E$5="Metric",14.5037738,1))/($E$13/IF('FMTC Main'!$E$5="Metric",0.0254,1)))*IF('FMTC Main'!$E$5="Metric",0.0254,1)</f>
        <v>#N/A</v>
      </c>
      <c r="D29" s="39" t="e">
        <f>(SQRT((($E$9/IF('FMTC Main'!$E$5="Metric",0.0254,1))^2)-(($C29/IF('FMTC Main'!$E$5="Metric",0.0254,1))/2)^2))*IF('FMTC Main'!$E$5="Metric",0.0254,1)</f>
        <v>#N/A</v>
      </c>
      <c r="E29" s="39" t="e">
        <f t="shared" si="0"/>
        <v>#N/A</v>
      </c>
      <c r="F29" s="38" t="e">
        <f>(((B29)*'Calculation Data &amp; Factors'!$A$11)/((E29)/IF('FMTC Main'!$E$5="Metric",0.0254,1)))*IF('FMTC Main'!$E$5="Metric",17.8579673,1)</f>
        <v>#N/A</v>
      </c>
      <c r="H29" s="38" t="e">
        <f t="shared" si="4"/>
        <v>#N/A</v>
      </c>
      <c r="I29" s="178" t="e">
        <f>(($H29*IF('FMTC Main'!$E$5="Metric",2.2046,1))/(($K$8)*IF('FMTC Main'!$E$5="Metric",14.5037738,1))/($K$13/IF('FMTC Main'!$E$5="Metric",0.0254,1)))*IF('FMTC Main'!$E$5="Metric",0.0254,1)</f>
        <v>#N/A</v>
      </c>
      <c r="J29" s="39" t="e">
        <f>(SQRT((($K$9/IF('FMTC Main'!$E$5="Metric",0.0254,1))^2)-(($I29/IF('FMTC Main'!$E$5="Metric",0.0254,1))/2)^2))*IF('FMTC Main'!$E$5="Metric",0.0254,1)</f>
        <v>#N/A</v>
      </c>
      <c r="K29" s="39" t="e">
        <f t="shared" si="1"/>
        <v>#N/A</v>
      </c>
      <c r="L29" s="38" t="e">
        <f>(((H29)*'Calculation Data &amp; Factors'!$A$11)/((K29)/IF('FMTC Main'!$E$5="Metric",0.0254,1)))*IF('FMTC Main'!$E$5="Metric",17.8579673,1)</f>
        <v>#N/A</v>
      </c>
      <c r="N29" s="481" t="str">
        <f>"Pressure Override"&amp;" "&amp;IF('FMTC Main'!E5="Metric","(bar)","(psi)")</f>
        <v>Pressure Override (psi)</v>
      </c>
      <c r="O29" s="484"/>
      <c r="P29" s="484"/>
      <c r="Q29" s="172"/>
      <c r="R29" s="172"/>
    </row>
    <row r="30" spans="2:30" ht="11.25" customHeight="1">
      <c r="B30" s="38" t="e">
        <f t="shared" si="3"/>
        <v>#N/A</v>
      </c>
      <c r="C30" s="39" t="e">
        <f>(($B30*IF('FMTC Main'!$E$5="Metric",2.2046,1))/(($E$8)*IF('FMTC Main'!$E$5="Metric",14.5037738,1))/($E$13/IF('FMTC Main'!$E$5="Metric",0.0254,1)))*IF('FMTC Main'!$E$5="Metric",0.0254,1)</f>
        <v>#N/A</v>
      </c>
      <c r="D30" s="39" t="e">
        <f>(SQRT((($E$9/IF('FMTC Main'!$E$5="Metric",0.0254,1))^2)-(($C30/IF('FMTC Main'!$E$5="Metric",0.0254,1))/2)^2))*IF('FMTC Main'!$E$5="Metric",0.0254,1)</f>
        <v>#N/A</v>
      </c>
      <c r="E30" s="39" t="e">
        <f t="shared" si="0"/>
        <v>#N/A</v>
      </c>
      <c r="F30" s="38" t="e">
        <f>(((B30)*'Calculation Data &amp; Factors'!$A$11)/((E30)/IF('FMTC Main'!$E$5="Metric",0.0254,1)))*IF('FMTC Main'!$E$5="Metric",17.8579673,1)</f>
        <v>#N/A</v>
      </c>
      <c r="H30" s="38" t="e">
        <f t="shared" si="4"/>
        <v>#N/A</v>
      </c>
      <c r="I30" s="178" t="e">
        <f>(($H30*IF('FMTC Main'!$E$5="Metric",2.2046,1))/(($K$8)*IF('FMTC Main'!$E$5="Metric",14.5037738,1))/($K$13/IF('FMTC Main'!$E$5="Metric",0.0254,1)))*IF('FMTC Main'!$E$5="Metric",0.0254,1)</f>
        <v>#N/A</v>
      </c>
      <c r="J30" s="39" t="e">
        <f>(SQRT((($K$9/IF('FMTC Main'!$E$5="Metric",0.0254,1))^2)-(($I30/IF('FMTC Main'!$E$5="Metric",0.0254,1))/2)^2))*IF('FMTC Main'!$E$5="Metric",0.0254,1)</f>
        <v>#N/A</v>
      </c>
      <c r="K30" s="39" t="e">
        <f t="shared" si="1"/>
        <v>#N/A</v>
      </c>
      <c r="L30" s="38" t="e">
        <f>(((H30)*'Calculation Data &amp; Factors'!$A$11)/((K30)/IF('FMTC Main'!$E$5="Metric",0.0254,1)))*IF('FMTC Main'!$E$5="Metric",17.8579673,1)</f>
        <v>#N/A</v>
      </c>
      <c r="N30" s="481" t="str">
        <f>"Temperature Override"&amp;" "&amp;IF('FMTC Main'!E5="Metric","(°C)","(°F)")</f>
        <v>Temperature Override (°F)</v>
      </c>
      <c r="O30" s="484"/>
      <c r="P30" s="484"/>
      <c r="Q30" s="160"/>
      <c r="R30" s="160"/>
    </row>
    <row r="31" spans="2:30" ht="11.25" customHeight="1">
      <c r="B31" s="177" t="e">
        <f>B24+Q16</f>
        <v>#N/A</v>
      </c>
      <c r="C31" s="39" t="e">
        <f>(($B31*IF('FMTC Main'!$E$5="Metric",2.2046,1))/(($E$8)*IF('FMTC Main'!$E$5="Metric",14.5037738,1))/($E$13/IF('FMTC Main'!$E$5="Metric",0.0254,1)))*IF('FMTC Main'!$E$5="Metric",0.0254,1)</f>
        <v>#N/A</v>
      </c>
      <c r="D31" s="39" t="e">
        <f>(SQRT((($E$9/IF('FMTC Main'!$E$5="Metric",0.0254,1))^2)-(($C31/IF('FMTC Main'!$E$5="Metric",0.0254,1))/2)^2))*IF('FMTC Main'!$E$5="Metric",0.0254,1)</f>
        <v>#N/A</v>
      </c>
      <c r="E31" s="39" t="e">
        <f t="shared" si="0"/>
        <v>#N/A</v>
      </c>
      <c r="F31" s="38" t="e">
        <f>(((B31)*'Calculation Data &amp; Factors'!$A$11)/((E31)/IF('FMTC Main'!$E$5="Metric",0.0254,1)))*IF('FMTC Main'!$E$5="Metric",17.8579673,1)</f>
        <v>#N/A</v>
      </c>
      <c r="H31" s="177" t="e">
        <f>H24+R16</f>
        <v>#N/A</v>
      </c>
      <c r="I31" s="178" t="e">
        <f>(($H31*IF('FMTC Main'!$E$5="Metric",2.2046,1))/(($K$8)*IF('FMTC Main'!$E$5="Metric",14.5037738,1))/($K$13/IF('FMTC Main'!$E$5="Metric",0.0254,1)))*IF('FMTC Main'!$E$5="Metric",0.0254,1)</f>
        <v>#N/A</v>
      </c>
      <c r="J31" s="39" t="e">
        <f>(SQRT((($K$9/IF('FMTC Main'!$E$5="Metric",0.0254,1))^2)-(($I31/IF('FMTC Main'!$E$5="Metric",0.0254,1))/2)^2))*IF('FMTC Main'!$E$5="Metric",0.0254,1)</f>
        <v>#N/A</v>
      </c>
      <c r="K31" s="39" t="e">
        <f t="shared" si="1"/>
        <v>#N/A</v>
      </c>
      <c r="L31" s="38" t="e">
        <f>(((H31)*'Calculation Data &amp; Factors'!$A$11)/((K31)/IF('FMTC Main'!$E$5="Metric",0.0254,1)))*IF('FMTC Main'!$E$5="Metric",17.8579673,1)</f>
        <v>#N/A</v>
      </c>
      <c r="N31" s="521" t="str">
        <f>"Modified Tire Pressure"</f>
        <v>Modified Tire Pressure</v>
      </c>
      <c r="O31" s="522"/>
      <c r="P31" s="523"/>
      <c r="Q31" s="132" t="e">
        <f>MROUND((Q28*(IF('FMTC Main'!E5="Metric",'Tire Dynamics'!Q27+273.15,('Tire Dynamics'!Q27-32)/(1.8)+273.15))/('Tire Dynamics'!Q24*1000))/'Calculation Data &amp; Factors'!A15,IF('FMTC Main'!E5="Metric",0.01,0.5))</f>
        <v>#DIV/0!</v>
      </c>
      <c r="R31" s="132" t="e">
        <f>MROUND((R28*(IF('FMTC Main'!E5="Metric",'Tire Dynamics'!Q27+273.15,('Tire Dynamics'!Q27-32)/(1.8)+273.15))/(R24*1000))/'Calculation Data &amp; Factors'!A15,IF('FMTC Main'!E5="Metric",0.01,0.5))</f>
        <v>#DIV/0!</v>
      </c>
    </row>
    <row r="32" spans="2:30" ht="11.25" customHeight="1">
      <c r="L32" s="3" t="s">
        <v>674</v>
      </c>
      <c r="N32" s="49"/>
      <c r="O32" s="49"/>
      <c r="P32" s="49"/>
      <c r="Q32" s="49"/>
      <c r="R32" s="49"/>
      <c r="S32" s="90"/>
    </row>
    <row r="33" spans="14:30" ht="11.25" customHeight="1">
      <c r="N33" s="483" t="s">
        <v>1171</v>
      </c>
      <c r="O33" s="483"/>
      <c r="P33" s="483"/>
      <c r="Q33" s="165"/>
      <c r="R33" s="165"/>
      <c r="S33" s="90"/>
    </row>
    <row r="34" spans="14:30" ht="11.25" customHeight="1">
      <c r="N34" s="480" t="s">
        <v>1168</v>
      </c>
      <c r="O34" s="480"/>
      <c r="P34" s="481"/>
      <c r="Q34" s="437"/>
      <c r="R34" s="437"/>
      <c r="W34" s="49"/>
      <c r="X34" s="49"/>
      <c r="Y34" s="3"/>
      <c r="Z34" s="3"/>
      <c r="AA34" s="3"/>
    </row>
    <row r="35" spans="14:30" ht="11.25" customHeight="1">
      <c r="N35" s="480" t="s">
        <v>1169</v>
      </c>
      <c r="O35" s="480"/>
      <c r="P35" s="481"/>
      <c r="Q35" s="437"/>
      <c r="R35" s="437"/>
      <c r="S35" s="49"/>
      <c r="W35" s="3"/>
      <c r="X35" s="3"/>
      <c r="Y35" s="3"/>
      <c r="Z35" s="3"/>
      <c r="AA35" s="3"/>
    </row>
    <row r="36" spans="14:30" ht="11.25" customHeight="1">
      <c r="N36" s="480" t="s">
        <v>53</v>
      </c>
      <c r="O36" s="480"/>
      <c r="P36" s="481"/>
      <c r="Q36" s="482">
        <v>0.5</v>
      </c>
      <c r="R36" s="482"/>
      <c r="AB36" s="49"/>
    </row>
    <row r="37" spans="14:30" ht="11.25" customHeight="1">
      <c r="N37" s="480" t="s">
        <v>54</v>
      </c>
      <c r="O37" s="480"/>
      <c r="P37" s="481"/>
      <c r="Q37" s="482"/>
      <c r="R37" s="482"/>
      <c r="S37" s="49"/>
      <c r="AB37" s="49"/>
    </row>
    <row r="38" spans="14:30" ht="11.25" customHeight="1">
      <c r="N38" s="441"/>
      <c r="O38" s="441"/>
      <c r="P38" s="442"/>
      <c r="Q38" s="440">
        <f>IF(AND(AND('Tire Dynamics'!Q35="",'Tire Dynamics'!R35=""),Q37=""),0,IF(Q37="",(Q35-Q34)/((Q35-Q34)+(R35-R34)),Q37))</f>
        <v>0</v>
      </c>
      <c r="R38" s="440">
        <f>IF(AND(AND('Tire Dynamics'!Q35="",'Tire Dynamics'!R35=""),Q37=""),0,1-Q38)</f>
        <v>0</v>
      </c>
      <c r="S38" s="347"/>
      <c r="Y38" s="3"/>
      <c r="Z38" s="3"/>
      <c r="AA38" s="3"/>
    </row>
    <row r="39" spans="14:30" ht="11.25" customHeight="1">
      <c r="N39" s="480" t="s">
        <v>1170</v>
      </c>
      <c r="O39" s="480"/>
      <c r="P39" s="480"/>
      <c r="Q39" s="436">
        <f>(((Q35-Q34)+(R35-R34))*Q36*Q38)+Q34</f>
        <v>0</v>
      </c>
      <c r="R39" s="436">
        <f>(((Q35-Q34)+(R35-R34))*Q36*R38)+R34</f>
        <v>0</v>
      </c>
      <c r="S39" s="347"/>
      <c r="Z39" s="3"/>
      <c r="AA39" s="3"/>
    </row>
    <row r="40" spans="14:30" ht="11.25" customHeight="1">
      <c r="S40" s="113"/>
      <c r="T40" s="113"/>
      <c r="AD40" s="49"/>
    </row>
    <row r="41" spans="14:30" ht="11.25" customHeight="1">
      <c r="N41" s="485" t="s">
        <v>675</v>
      </c>
      <c r="O41" s="486"/>
      <c r="P41" s="487"/>
      <c r="Q41" s="340"/>
      <c r="R41" s="340"/>
      <c r="S41" s="22"/>
      <c r="T41" s="22"/>
      <c r="AD41" s="49"/>
    </row>
    <row r="42" spans="14:30" ht="11.25" customHeight="1">
      <c r="N42" s="481" t="s">
        <v>676</v>
      </c>
      <c r="O42" s="484"/>
      <c r="P42" s="508"/>
      <c r="Q42" s="309" t="e">
        <f>MROUND(INDEX('Vehicle Database'!P3:P569,MATCH('FMTC Main'!H1,'Vehicle Database'!AA3:AA569,FALSE),1)*IF('FMTC Main'!E5="Metric",1,0.0393700787),IF('FMTC Main'!E5="Metric",1,0.1))</f>
        <v>#N/A</v>
      </c>
      <c r="R42" s="28" t="str">
        <f>IF('FMTC Main'!$E$5="Metric","mm","in")</f>
        <v>in</v>
      </c>
      <c r="S42" s="22"/>
      <c r="T42" s="22"/>
      <c r="Y42" s="49"/>
      <c r="Z42" s="49"/>
      <c r="AA42" s="49"/>
    </row>
    <row r="43" spans="14:30" ht="11.25" customHeight="1">
      <c r="N43" s="481" t="s">
        <v>752</v>
      </c>
      <c r="O43" s="484"/>
      <c r="P43" s="508"/>
      <c r="Q43" s="309" t="e">
        <f>MROUND(INDEX('Vehicle Database'!Q3:Q569,MATCH('FMTC Main'!H1,'Vehicle Database'!AA3:AA569,FALSE),1)*IF('FMTC Main'!E5="Metric",1,0.0393700787),IF('FMTC Main'!E5="Metric",1,0.1))</f>
        <v>#N/A</v>
      </c>
      <c r="R43" s="28" t="str">
        <f>IF('FMTC Main'!$E$5="Metric","mm","in")</f>
        <v>in</v>
      </c>
      <c r="S43" s="357"/>
      <c r="Y43" s="3"/>
      <c r="Z43" s="3"/>
      <c r="AA43" s="49"/>
    </row>
    <row r="44" spans="14:30" ht="11.25" customHeight="1">
      <c r="N44" s="481" t="s">
        <v>1074</v>
      </c>
      <c r="O44" s="484"/>
      <c r="P44" s="508"/>
      <c r="Q44" s="309" t="e">
        <f>MROUND(INDEX('Vehicle Database'!R3:R569,MATCH('FMTC Main'!H1,'Vehicle Database'!AA3:AA569,FALSE),1)*IF('FMTC Main'!E5="Metric",1,0.0393700787),IF('FMTC Main'!E5="Metric",1,0.1))</f>
        <v>#N/A</v>
      </c>
      <c r="R44" s="28" t="str">
        <f>IF('FMTC Main'!$E$5="Metric","mm","in")</f>
        <v>in</v>
      </c>
      <c r="S44" s="357"/>
      <c r="T44" s="22"/>
      <c r="AD44" s="49"/>
    </row>
    <row r="45" spans="14:30" ht="11.25" customHeight="1">
      <c r="N45" s="481" t="str">
        <f>"Track Width"&amp;" "&amp;IF('FMTC Main'!$E$5="Metric","(mm)","(in)")</f>
        <v>Track Width (in)</v>
      </c>
      <c r="O45" s="484"/>
      <c r="P45" s="508"/>
      <c r="Q45" s="315" t="e">
        <f>MROUND(INDEX('Vehicle Database'!Y3:Y569,MATCH('FMTC Main'!H1,'Vehicle Database'!AA3:AA569,FALSE),1)*IF('FMTC Main'!E5="Metric",1,0.0393700787),IF('FMTC Main'!E5="Metric",1,0.1))</f>
        <v>#N/A</v>
      </c>
      <c r="R45" s="316" t="e">
        <f>MROUND(INDEX('Vehicle Database'!Z3:Z569,MATCH('FMTC Main'!H1,'Vehicle Database'!AA3:AA569,FALSE),1)*IF('FMTC Main'!E5="Metric",1,0.0393700787),IF('FMTC Main'!E5="Metric",1,0.1))</f>
        <v>#N/A</v>
      </c>
      <c r="S45" s="22"/>
      <c r="T45" s="22"/>
      <c r="AD45" s="49"/>
    </row>
    <row r="46" spans="14:30" ht="11.25" customHeight="1">
      <c r="N46" s="481" t="str">
        <f>"Brake Diameter"&amp;" "&amp;IF('FMTC Main'!$E$5="Metric","(mm)","(in)")</f>
        <v>Brake Diameter (in)</v>
      </c>
      <c r="O46" s="484"/>
      <c r="P46" s="508"/>
      <c r="Q46" s="315" t="e">
        <f>MROUND(INDEX('Vehicle Database'!W3:W569,MATCH('FMTC Main'!H1,'Vehicle Database'!AA3:AA569,FALSE),1)*IF('FMTC Main'!E5="Metric",1,0.0393700787),IF('FMTC Main'!E5="Metric",1,0.1))</f>
        <v>#N/A</v>
      </c>
      <c r="R46" s="316" t="e">
        <f>MROUND(INDEX('Vehicle Database'!X3:X569,MATCH('FMTC Main'!H1,'Vehicle Database'!AA3:AA569,FALSE),1)*IF('FMTC Main'!E5="Metric",1,0.0393700787),IF('FMTC Main'!E5="Metric",1,0.1))</f>
        <v>#N/A</v>
      </c>
      <c r="S46" s="22"/>
      <c r="T46" s="22"/>
      <c r="AD46" s="49"/>
    </row>
    <row r="47" spans="14:30" ht="11.25" customHeight="1">
      <c r="N47" s="481" t="s">
        <v>1175</v>
      </c>
      <c r="O47" s="484"/>
      <c r="P47" s="508"/>
      <c r="Q47" s="130" t="e">
        <f>DEGREES(TAN(Q45/Q44))</f>
        <v>#N/A</v>
      </c>
      <c r="R47" s="125" t="s">
        <v>33</v>
      </c>
      <c r="S47" s="22"/>
      <c r="T47" s="22"/>
      <c r="AD47" s="49"/>
    </row>
    <row r="48" spans="14:30" ht="11.25" customHeight="1">
      <c r="S48" s="22"/>
      <c r="T48" s="22"/>
      <c r="AB48" s="49"/>
      <c r="AC48" s="49"/>
      <c r="AD48" s="49"/>
    </row>
    <row r="49" spans="14:35" ht="11.25" customHeight="1">
      <c r="S49" s="22"/>
      <c r="T49" s="22"/>
      <c r="AB49" s="49"/>
      <c r="AC49" s="49"/>
      <c r="AD49" s="49"/>
      <c r="AE49" s="49"/>
    </row>
    <row r="50" spans="14:35" ht="11.25" customHeight="1">
      <c r="S50" s="49"/>
      <c r="AB50" s="49"/>
      <c r="AC50" s="49"/>
      <c r="AD50" s="49"/>
      <c r="AE50" s="49"/>
    </row>
    <row r="51" spans="14:35" ht="11.25" customHeight="1">
      <c r="S51" s="49"/>
      <c r="AB51" s="49"/>
      <c r="AC51" s="49"/>
      <c r="AD51" s="49"/>
      <c r="AE51" s="49"/>
    </row>
    <row r="52" spans="14:35" ht="11.25" customHeight="1">
      <c r="N52" s="49"/>
      <c r="O52" s="49"/>
      <c r="P52" s="49"/>
      <c r="Q52" s="49"/>
      <c r="R52" s="49"/>
      <c r="S52" s="49"/>
      <c r="AB52" s="49"/>
      <c r="AC52" s="49"/>
      <c r="AD52" s="49"/>
      <c r="AE52" s="49"/>
    </row>
    <row r="53" spans="14:35" ht="11.25" customHeight="1">
      <c r="N53" s="49"/>
      <c r="O53" s="49"/>
      <c r="P53" s="49"/>
      <c r="Q53" s="49"/>
      <c r="R53" s="49"/>
      <c r="S53" s="49"/>
      <c r="AB53" s="49"/>
      <c r="AC53" s="49"/>
      <c r="AD53" s="49"/>
      <c r="AE53" s="49"/>
    </row>
    <row r="54" spans="14:35" ht="11.25" customHeight="1">
      <c r="N54" s="49"/>
      <c r="O54" s="49"/>
      <c r="P54" s="49"/>
      <c r="Q54" s="49"/>
      <c r="R54" s="49"/>
      <c r="S54" s="49"/>
      <c r="AB54" s="49"/>
      <c r="AC54" s="49"/>
      <c r="AD54" s="49"/>
      <c r="AE54" s="49"/>
    </row>
    <row r="55" spans="14:35" ht="11.25" customHeight="1">
      <c r="N55" s="49"/>
      <c r="O55" s="49"/>
      <c r="P55" s="49"/>
      <c r="Q55" s="49"/>
      <c r="R55" s="49"/>
      <c r="S55" s="49"/>
      <c r="AB55" s="49"/>
      <c r="AC55" s="49"/>
      <c r="AD55" s="49"/>
      <c r="AE55" s="49"/>
      <c r="AF55" s="49"/>
      <c r="AG55" s="49"/>
      <c r="AH55" s="49"/>
      <c r="AI55" s="49"/>
    </row>
    <row r="56" spans="14:35" ht="11.25" customHeight="1">
      <c r="N56" s="49"/>
      <c r="O56" s="49"/>
      <c r="P56" s="49"/>
      <c r="Q56" s="49"/>
      <c r="R56" s="49"/>
      <c r="S56" s="49"/>
      <c r="AB56" s="49"/>
      <c r="AC56" s="49"/>
      <c r="AD56" s="49"/>
      <c r="AE56" s="49"/>
      <c r="AF56" s="49"/>
      <c r="AG56" s="49"/>
      <c r="AH56" s="49"/>
      <c r="AI56" s="49"/>
    </row>
    <row r="57" spans="14:35" ht="11.25" customHeight="1">
      <c r="N57" s="49"/>
      <c r="O57" s="49"/>
      <c r="P57" s="49"/>
      <c r="Q57" s="49"/>
      <c r="R57" s="49"/>
      <c r="S57" s="49"/>
      <c r="AB57" s="49"/>
      <c r="AC57" s="49"/>
      <c r="AD57" s="49"/>
      <c r="AE57" s="49"/>
      <c r="AF57" s="49"/>
      <c r="AG57" s="49"/>
      <c r="AH57" s="49"/>
      <c r="AI57" s="49"/>
    </row>
    <row r="58" spans="14:35" ht="11.25" customHeight="1">
      <c r="N58" s="49"/>
      <c r="O58" s="49"/>
      <c r="P58" s="49"/>
      <c r="Q58" s="49"/>
      <c r="R58" s="49"/>
      <c r="S58" s="49"/>
      <c r="AB58" s="49"/>
      <c r="AC58" s="49"/>
      <c r="AD58" s="49"/>
      <c r="AE58" s="49"/>
      <c r="AF58" s="49"/>
      <c r="AG58" s="49"/>
      <c r="AH58" s="49"/>
      <c r="AI58" s="49"/>
    </row>
    <row r="59" spans="14:35" ht="11.25" customHeight="1">
      <c r="N59" s="49"/>
      <c r="O59" s="49"/>
      <c r="P59" s="49"/>
      <c r="Q59" s="49"/>
      <c r="R59" s="49"/>
      <c r="S59" s="49"/>
      <c r="AB59" s="49"/>
      <c r="AC59" s="49"/>
      <c r="AD59" s="49"/>
      <c r="AE59" s="49"/>
      <c r="AF59" s="49"/>
      <c r="AG59" s="49"/>
      <c r="AH59" s="49"/>
      <c r="AI59" s="49"/>
    </row>
    <row r="60" spans="14:35" ht="11.25" customHeight="1">
      <c r="N60" s="49"/>
      <c r="O60" s="49"/>
      <c r="P60" s="49"/>
      <c r="Q60" s="49"/>
      <c r="R60" s="49"/>
      <c r="S60" s="49"/>
      <c r="AB60" s="49"/>
      <c r="AC60" s="49"/>
      <c r="AD60" s="49"/>
      <c r="AE60" s="49"/>
      <c r="AF60" s="49"/>
      <c r="AG60" s="49"/>
      <c r="AH60" s="49"/>
      <c r="AI60" s="49"/>
    </row>
    <row r="61" spans="14:35" ht="11.25" customHeight="1">
      <c r="N61" s="49"/>
      <c r="O61" s="49"/>
      <c r="P61" s="49"/>
      <c r="Q61" s="49"/>
      <c r="R61" s="49"/>
      <c r="S61" s="49"/>
      <c r="AB61" s="49"/>
      <c r="AC61" s="49"/>
      <c r="AD61" s="49"/>
      <c r="AE61" s="49"/>
      <c r="AF61" s="49"/>
      <c r="AG61" s="49"/>
      <c r="AH61" s="49"/>
      <c r="AI61" s="49"/>
    </row>
    <row r="62" spans="14:35" ht="11.25" customHeight="1">
      <c r="N62" s="49"/>
      <c r="O62" s="49"/>
      <c r="P62" s="49"/>
      <c r="Q62" s="49"/>
      <c r="R62" s="49"/>
      <c r="S62" s="49"/>
      <c r="AB62" s="49"/>
      <c r="AC62" s="49"/>
      <c r="AD62" s="49"/>
      <c r="AE62" s="49"/>
      <c r="AF62" s="49"/>
      <c r="AG62" s="49"/>
      <c r="AH62" s="49"/>
      <c r="AI62" s="49"/>
    </row>
    <row r="63" spans="14:35" ht="11.25" customHeight="1">
      <c r="N63" s="49"/>
      <c r="O63" s="49"/>
      <c r="P63" s="49"/>
      <c r="Q63" s="49"/>
      <c r="R63" s="49"/>
      <c r="S63" s="49"/>
      <c r="AB63" s="49"/>
      <c r="AC63" s="49"/>
      <c r="AD63" s="49"/>
      <c r="AE63" s="49"/>
      <c r="AF63" s="49"/>
      <c r="AG63" s="49"/>
      <c r="AH63" s="49"/>
      <c r="AI63" s="49"/>
    </row>
    <row r="64" spans="14:35" ht="11.25" customHeight="1">
      <c r="N64" s="49"/>
      <c r="O64" s="49"/>
      <c r="P64" s="49"/>
      <c r="Q64" s="49"/>
      <c r="R64" s="49"/>
      <c r="S64" s="49"/>
      <c r="AB64" s="49"/>
      <c r="AC64" s="49"/>
      <c r="AD64" s="49"/>
      <c r="AE64" s="49"/>
      <c r="AF64" s="49"/>
      <c r="AG64" s="49"/>
      <c r="AH64" s="49"/>
      <c r="AI64" s="49"/>
    </row>
    <row r="65" spans="14:35" ht="11.25" customHeight="1">
      <c r="N65" s="49"/>
      <c r="O65" s="49"/>
      <c r="P65" s="49"/>
      <c r="Q65" s="49"/>
      <c r="R65" s="49"/>
      <c r="S65" s="49"/>
      <c r="AB65" s="49"/>
      <c r="AC65" s="49"/>
      <c r="AD65" s="49"/>
      <c r="AE65" s="49"/>
      <c r="AF65" s="49"/>
      <c r="AG65" s="49"/>
      <c r="AH65" s="49"/>
      <c r="AI65" s="49"/>
    </row>
    <row r="66" spans="14:35" ht="11.25" customHeight="1">
      <c r="N66" s="49"/>
      <c r="O66" s="49"/>
      <c r="P66" s="49"/>
      <c r="Q66" s="49"/>
      <c r="R66" s="49"/>
      <c r="S66" s="49"/>
      <c r="AB66" s="49"/>
      <c r="AC66" s="49"/>
      <c r="AD66" s="49"/>
      <c r="AE66" s="49"/>
      <c r="AF66" s="49"/>
      <c r="AG66" s="49"/>
      <c r="AH66" s="49"/>
      <c r="AI66" s="49"/>
    </row>
    <row r="67" spans="14:35" ht="11.25" customHeight="1">
      <c r="N67" s="49"/>
      <c r="O67" s="49"/>
      <c r="P67" s="49"/>
      <c r="Q67" s="49"/>
      <c r="R67" s="49"/>
      <c r="S67" s="49"/>
      <c r="AB67" s="49"/>
      <c r="AC67" s="49"/>
      <c r="AD67" s="49"/>
      <c r="AE67" s="49"/>
      <c r="AF67" s="49"/>
      <c r="AG67" s="49"/>
      <c r="AH67" s="49"/>
      <c r="AI67" s="49"/>
    </row>
    <row r="68" spans="14:35" ht="11.25" customHeight="1">
      <c r="N68" s="49"/>
      <c r="O68" s="49"/>
      <c r="P68" s="49"/>
      <c r="Q68" s="49"/>
      <c r="R68" s="49"/>
      <c r="S68" s="49"/>
      <c r="AB68" s="49"/>
      <c r="AC68" s="49"/>
      <c r="AD68" s="49"/>
      <c r="AE68" s="49"/>
      <c r="AF68" s="49"/>
      <c r="AG68" s="49"/>
      <c r="AH68" s="49"/>
      <c r="AI68" s="49"/>
    </row>
    <row r="69" spans="14:35" ht="11.25" customHeight="1">
      <c r="N69" s="49"/>
      <c r="O69" s="49"/>
      <c r="P69" s="49"/>
      <c r="Q69" s="49"/>
      <c r="R69" s="49"/>
      <c r="S69" s="49"/>
      <c r="AB69" s="49"/>
      <c r="AC69" s="49"/>
      <c r="AD69" s="49"/>
      <c r="AE69" s="49"/>
      <c r="AF69" s="49"/>
      <c r="AG69" s="49"/>
      <c r="AH69" s="49"/>
      <c r="AI69" s="49"/>
    </row>
    <row r="70" spans="14:35" ht="11.25" customHeight="1">
      <c r="N70" s="49"/>
      <c r="O70" s="49"/>
      <c r="P70" s="49"/>
      <c r="Q70" s="49"/>
      <c r="R70" s="49"/>
      <c r="S70" s="49"/>
      <c r="AB70" s="49"/>
      <c r="AC70" s="49"/>
      <c r="AD70" s="49"/>
      <c r="AE70" s="49"/>
      <c r="AF70" s="49"/>
      <c r="AG70" s="49"/>
      <c r="AH70" s="49"/>
      <c r="AI70" s="49"/>
    </row>
    <row r="71" spans="14:35" ht="11.25" customHeight="1">
      <c r="N71" s="49"/>
      <c r="O71" s="49"/>
      <c r="P71" s="49"/>
      <c r="Q71" s="49"/>
      <c r="R71" s="49"/>
      <c r="S71" s="49"/>
      <c r="AB71" s="49"/>
      <c r="AC71" s="49"/>
      <c r="AD71" s="49"/>
      <c r="AE71" s="49"/>
      <c r="AF71" s="49"/>
      <c r="AG71" s="49"/>
      <c r="AH71" s="49"/>
      <c r="AI71" s="49"/>
    </row>
    <row r="72" spans="14:35" ht="11.25" customHeight="1">
      <c r="N72" s="49"/>
      <c r="O72" s="49"/>
      <c r="P72" s="49"/>
      <c r="Q72" s="49"/>
      <c r="R72" s="49"/>
      <c r="S72" s="49"/>
      <c r="AB72" s="49"/>
      <c r="AC72" s="49"/>
      <c r="AD72" s="49"/>
      <c r="AE72" s="49"/>
      <c r="AF72" s="49"/>
      <c r="AG72" s="49"/>
      <c r="AH72" s="49"/>
      <c r="AI72" s="49"/>
    </row>
    <row r="73" spans="14:35" ht="11.25" customHeight="1">
      <c r="N73" s="49"/>
      <c r="O73" s="49"/>
      <c r="P73" s="49"/>
      <c r="Q73" s="49"/>
      <c r="R73" s="49"/>
      <c r="S73" s="49"/>
      <c r="AB73" s="49"/>
      <c r="AC73" s="49"/>
      <c r="AD73" s="49"/>
      <c r="AE73" s="49"/>
      <c r="AF73" s="49"/>
      <c r="AG73" s="49"/>
      <c r="AH73" s="49"/>
      <c r="AI73" s="49"/>
    </row>
    <row r="74" spans="14:35" ht="11.25" customHeight="1">
      <c r="N74" s="49"/>
      <c r="O74" s="49"/>
      <c r="P74" s="49"/>
      <c r="Q74" s="49"/>
      <c r="R74" s="49"/>
      <c r="S74" s="49"/>
      <c r="AB74" s="49"/>
      <c r="AC74" s="49"/>
      <c r="AD74" s="49"/>
      <c r="AE74" s="49"/>
      <c r="AF74" s="49"/>
      <c r="AG74" s="49"/>
      <c r="AH74" s="49"/>
      <c r="AI74" s="49"/>
    </row>
    <row r="75" spans="14:35" ht="11.25" customHeight="1">
      <c r="N75" s="49"/>
      <c r="O75" s="49"/>
      <c r="P75" s="49"/>
      <c r="Q75" s="49"/>
      <c r="R75" s="49"/>
      <c r="S75" s="49"/>
      <c r="AB75" s="49"/>
      <c r="AC75" s="49"/>
      <c r="AD75" s="49"/>
      <c r="AE75" s="49"/>
      <c r="AF75" s="49"/>
      <c r="AG75" s="49"/>
      <c r="AH75" s="49"/>
      <c r="AI75" s="49"/>
    </row>
    <row r="76" spans="14:35" ht="11.25" customHeight="1">
      <c r="N76" s="49"/>
      <c r="O76" s="49"/>
      <c r="P76" s="49"/>
      <c r="Q76" s="49"/>
      <c r="R76" s="49"/>
      <c r="S76" s="49"/>
      <c r="AB76" s="49"/>
      <c r="AC76" s="49"/>
      <c r="AD76" s="49"/>
      <c r="AE76" s="49"/>
      <c r="AF76" s="49"/>
      <c r="AG76" s="49"/>
      <c r="AH76" s="49"/>
      <c r="AI76" s="49"/>
    </row>
    <row r="77" spans="14:35" ht="11.25" customHeight="1">
      <c r="N77" s="49"/>
      <c r="O77" s="49"/>
      <c r="P77" s="49"/>
      <c r="Q77" s="49"/>
      <c r="R77" s="49"/>
      <c r="S77" s="49"/>
      <c r="AB77" s="49"/>
      <c r="AC77" s="49"/>
      <c r="AD77" s="49"/>
      <c r="AE77" s="49"/>
      <c r="AF77" s="49"/>
      <c r="AG77" s="49"/>
      <c r="AH77" s="49"/>
      <c r="AI77" s="49"/>
    </row>
    <row r="78" spans="14:35" ht="11.25" customHeight="1">
      <c r="N78" s="49"/>
      <c r="O78" s="49"/>
      <c r="P78" s="49"/>
      <c r="Q78" s="49"/>
      <c r="R78" s="49"/>
      <c r="S78" s="49"/>
      <c r="AB78" s="49"/>
      <c r="AC78" s="49"/>
      <c r="AD78" s="49"/>
      <c r="AE78" s="49"/>
      <c r="AF78" s="49"/>
      <c r="AG78" s="49"/>
      <c r="AH78" s="49"/>
      <c r="AI78" s="49"/>
    </row>
    <row r="79" spans="14:35" ht="11.25" customHeight="1">
      <c r="N79" s="49"/>
      <c r="O79" s="49"/>
      <c r="P79" s="49"/>
      <c r="Q79" s="49"/>
      <c r="R79" s="49"/>
      <c r="S79" s="49"/>
      <c r="AB79" s="49"/>
      <c r="AC79" s="49"/>
      <c r="AD79" s="49"/>
      <c r="AE79" s="49"/>
      <c r="AF79" s="49"/>
      <c r="AG79" s="49"/>
      <c r="AH79" s="49"/>
      <c r="AI79" s="49"/>
    </row>
    <row r="80" spans="14:35" ht="11.25" customHeight="1">
      <c r="N80" s="49"/>
      <c r="O80" s="49"/>
      <c r="P80" s="49"/>
      <c r="Q80" s="49"/>
      <c r="R80" s="49"/>
      <c r="S80" s="49"/>
      <c r="AB80" s="49"/>
      <c r="AC80" s="49"/>
      <c r="AD80" s="49"/>
      <c r="AE80" s="49"/>
      <c r="AF80" s="49"/>
      <c r="AG80" s="49"/>
      <c r="AH80" s="49"/>
      <c r="AI80" s="49"/>
    </row>
    <row r="81" spans="14:35" ht="11.25" customHeight="1">
      <c r="N81" s="49"/>
      <c r="O81" s="49"/>
      <c r="P81" s="49"/>
      <c r="Q81" s="49"/>
      <c r="R81" s="49"/>
      <c r="S81" s="49"/>
      <c r="AB81" s="49"/>
      <c r="AC81" s="49"/>
      <c r="AD81" s="49"/>
      <c r="AE81" s="49"/>
      <c r="AF81" s="49"/>
      <c r="AG81" s="49"/>
      <c r="AH81" s="49"/>
      <c r="AI81" s="49"/>
    </row>
    <row r="82" spans="14:35" ht="11.25" customHeight="1">
      <c r="N82" s="49"/>
      <c r="O82" s="49"/>
      <c r="P82" s="49"/>
      <c r="Q82" s="49"/>
      <c r="R82" s="49"/>
      <c r="S82" s="49"/>
      <c r="AB82" s="49"/>
      <c r="AC82" s="49"/>
      <c r="AD82" s="49"/>
      <c r="AE82" s="49"/>
      <c r="AF82" s="49"/>
      <c r="AG82" s="49"/>
      <c r="AH82" s="49"/>
      <c r="AI82" s="49"/>
    </row>
    <row r="83" spans="14:35" ht="11.25" customHeight="1">
      <c r="N83" s="49"/>
      <c r="O83" s="49"/>
      <c r="P83" s="49"/>
      <c r="Q83" s="49"/>
      <c r="R83" s="49"/>
      <c r="S83" s="49"/>
      <c r="AB83" s="49"/>
      <c r="AC83" s="49"/>
      <c r="AD83" s="49"/>
      <c r="AE83" s="49"/>
      <c r="AF83" s="49"/>
      <c r="AG83" s="49"/>
      <c r="AH83" s="49"/>
      <c r="AI83" s="49"/>
    </row>
    <row r="84" spans="14:35" ht="11.25" customHeight="1">
      <c r="N84" s="49"/>
      <c r="O84" s="49"/>
      <c r="P84" s="49"/>
      <c r="Q84" s="49"/>
      <c r="R84" s="49"/>
      <c r="S84" s="49"/>
      <c r="AB84" s="49"/>
      <c r="AC84" s="49"/>
      <c r="AD84" s="49"/>
      <c r="AE84" s="49"/>
      <c r="AF84" s="49"/>
      <c r="AG84" s="49"/>
      <c r="AH84" s="49"/>
      <c r="AI84" s="49"/>
    </row>
    <row r="85" spans="14:35" ht="11.25" customHeight="1">
      <c r="N85" s="49"/>
      <c r="O85" s="49"/>
      <c r="P85" s="49"/>
      <c r="Q85" s="49"/>
      <c r="R85" s="49"/>
      <c r="S85" s="49"/>
      <c r="AB85" s="49"/>
      <c r="AC85" s="49"/>
      <c r="AD85" s="49"/>
      <c r="AE85" s="49"/>
      <c r="AF85" s="49"/>
      <c r="AG85" s="49"/>
      <c r="AH85" s="49"/>
      <c r="AI85" s="49"/>
    </row>
    <row r="86" spans="14:35" ht="11.25" customHeight="1">
      <c r="N86" s="49"/>
      <c r="O86" s="49"/>
      <c r="P86" s="49"/>
      <c r="Q86" s="49"/>
      <c r="R86" s="49"/>
      <c r="S86" s="49"/>
      <c r="AB86" s="49"/>
      <c r="AC86" s="49"/>
      <c r="AD86" s="49"/>
      <c r="AE86" s="49"/>
      <c r="AF86" s="49"/>
      <c r="AG86" s="49"/>
      <c r="AH86" s="49"/>
      <c r="AI86" s="49"/>
    </row>
    <row r="87" spans="14:35" ht="11.25" customHeight="1">
      <c r="N87" s="49"/>
      <c r="O87" s="49"/>
      <c r="P87" s="49"/>
      <c r="Q87" s="49"/>
      <c r="R87" s="49"/>
      <c r="S87" s="49"/>
      <c r="AB87" s="49"/>
      <c r="AC87" s="49"/>
      <c r="AD87" s="49"/>
      <c r="AE87" s="49"/>
      <c r="AF87" s="49"/>
      <c r="AG87" s="49"/>
      <c r="AH87" s="49"/>
      <c r="AI87" s="49"/>
    </row>
    <row r="88" spans="14:35" ht="11.25" customHeight="1">
      <c r="N88" s="49"/>
      <c r="O88" s="49"/>
      <c r="P88" s="49"/>
      <c r="Q88" s="49"/>
      <c r="R88" s="49"/>
      <c r="S88" s="49"/>
      <c r="AB88" s="49"/>
      <c r="AC88" s="49"/>
      <c r="AD88" s="49"/>
      <c r="AE88" s="49"/>
      <c r="AF88" s="49"/>
      <c r="AG88" s="49"/>
      <c r="AH88" s="49"/>
      <c r="AI88" s="49"/>
    </row>
    <row r="89" spans="14:35" ht="11.25" customHeight="1">
      <c r="N89" s="49"/>
      <c r="O89" s="49"/>
      <c r="P89" s="49"/>
      <c r="Q89" s="49"/>
      <c r="R89" s="49"/>
      <c r="S89" s="49"/>
      <c r="AB89" s="49"/>
      <c r="AC89" s="49"/>
      <c r="AD89" s="49"/>
      <c r="AE89" s="49"/>
      <c r="AF89" s="49"/>
      <c r="AG89" s="49"/>
      <c r="AH89" s="49"/>
      <c r="AI89" s="49"/>
    </row>
    <row r="90" spans="14:35" ht="11.25" customHeight="1">
      <c r="N90" s="49"/>
      <c r="O90" s="49"/>
      <c r="P90" s="49"/>
      <c r="Q90" s="49"/>
      <c r="R90" s="49"/>
      <c r="S90" s="49"/>
      <c r="AB90" s="49"/>
      <c r="AC90" s="49"/>
      <c r="AD90" s="49"/>
      <c r="AE90" s="49"/>
      <c r="AF90" s="49"/>
      <c r="AG90" s="49"/>
      <c r="AH90" s="49"/>
      <c r="AI90" s="49"/>
    </row>
    <row r="91" spans="14:35" ht="11.25" customHeight="1">
      <c r="N91" s="49"/>
      <c r="O91" s="49"/>
      <c r="P91" s="49"/>
      <c r="Q91" s="49"/>
      <c r="R91" s="49"/>
      <c r="S91" s="49"/>
      <c r="AB91" s="49"/>
      <c r="AC91" s="49"/>
      <c r="AD91" s="49"/>
      <c r="AE91" s="49"/>
      <c r="AF91" s="49"/>
      <c r="AG91" s="49"/>
      <c r="AH91" s="49"/>
      <c r="AI91" s="49"/>
    </row>
    <row r="92" spans="14:35" ht="11.25" customHeight="1">
      <c r="N92" s="49"/>
      <c r="O92" s="49"/>
      <c r="P92" s="49"/>
      <c r="Q92" s="49"/>
      <c r="R92" s="49"/>
      <c r="S92" s="49"/>
      <c r="AB92" s="49"/>
      <c r="AC92" s="49"/>
      <c r="AD92" s="49"/>
      <c r="AE92" s="49"/>
      <c r="AF92" s="49"/>
      <c r="AG92" s="49"/>
      <c r="AH92" s="49"/>
      <c r="AI92" s="49"/>
    </row>
    <row r="93" spans="14:35" ht="11.25" customHeight="1">
      <c r="N93" s="49"/>
      <c r="O93" s="49"/>
      <c r="P93" s="49"/>
      <c r="Q93" s="49"/>
      <c r="R93" s="49"/>
      <c r="S93" s="49"/>
      <c r="AB93" s="49"/>
      <c r="AC93" s="49"/>
      <c r="AD93" s="49"/>
      <c r="AE93" s="49"/>
      <c r="AF93" s="49"/>
      <c r="AG93" s="49"/>
      <c r="AH93" s="49"/>
      <c r="AI93" s="49"/>
    </row>
    <row r="94" spans="14:35" ht="11.25" customHeight="1">
      <c r="N94" s="49"/>
      <c r="O94" s="49"/>
      <c r="P94" s="49"/>
      <c r="Q94" s="49"/>
      <c r="R94" s="49"/>
      <c r="S94" s="49"/>
      <c r="AB94" s="49"/>
      <c r="AC94" s="49"/>
      <c r="AD94" s="49"/>
      <c r="AE94" s="49"/>
      <c r="AF94" s="49"/>
      <c r="AG94" s="49"/>
      <c r="AH94" s="49"/>
      <c r="AI94" s="49"/>
    </row>
    <row r="95" spans="14:35" ht="11.25" customHeight="1">
      <c r="N95" s="49"/>
      <c r="O95" s="49"/>
      <c r="P95" s="49"/>
      <c r="Q95" s="49"/>
      <c r="R95" s="49"/>
      <c r="S95" s="49"/>
      <c r="AB95" s="49"/>
      <c r="AC95" s="49"/>
      <c r="AD95" s="49"/>
      <c r="AE95" s="49"/>
      <c r="AF95" s="49"/>
      <c r="AG95" s="49"/>
      <c r="AH95" s="49"/>
      <c r="AI95" s="49"/>
    </row>
    <row r="96" spans="14:35" ht="11.25" customHeight="1">
      <c r="N96" s="49"/>
      <c r="O96" s="49"/>
      <c r="P96" s="49"/>
      <c r="Q96" s="49"/>
      <c r="R96" s="49"/>
      <c r="S96" s="49"/>
      <c r="AB96" s="49"/>
      <c r="AC96" s="49"/>
      <c r="AD96" s="49"/>
      <c r="AE96" s="49"/>
      <c r="AF96" s="49"/>
      <c r="AG96" s="49"/>
      <c r="AH96" s="49"/>
      <c r="AI96" s="49"/>
    </row>
    <row r="97" spans="14:35" ht="11.25" customHeight="1">
      <c r="N97" s="49"/>
      <c r="O97" s="49"/>
      <c r="P97" s="49"/>
      <c r="Q97" s="49"/>
      <c r="R97" s="49"/>
      <c r="S97" s="49"/>
      <c r="AB97" s="49"/>
      <c r="AC97" s="49"/>
      <c r="AD97" s="49"/>
      <c r="AE97" s="49"/>
      <c r="AF97" s="49"/>
      <c r="AG97" s="49"/>
      <c r="AH97" s="49"/>
      <c r="AI97" s="49"/>
    </row>
    <row r="98" spans="14:35" ht="11.25" customHeight="1">
      <c r="N98" s="49"/>
      <c r="O98" s="49"/>
      <c r="P98" s="49"/>
      <c r="Q98" s="49"/>
      <c r="R98" s="49"/>
      <c r="S98" s="49"/>
      <c r="AB98" s="49"/>
      <c r="AC98" s="49"/>
      <c r="AD98" s="49"/>
      <c r="AE98" s="49"/>
      <c r="AF98" s="49"/>
      <c r="AG98" s="49"/>
      <c r="AH98" s="49"/>
      <c r="AI98" s="49"/>
    </row>
    <row r="99" spans="14:35" ht="11.25" customHeight="1">
      <c r="N99" s="49"/>
      <c r="O99" s="49"/>
      <c r="P99" s="49"/>
      <c r="Q99" s="49"/>
      <c r="R99" s="49"/>
      <c r="S99" s="49"/>
      <c r="AB99" s="49"/>
      <c r="AC99" s="49"/>
      <c r="AD99" s="49"/>
      <c r="AE99" s="49"/>
      <c r="AF99" s="49"/>
      <c r="AG99" s="49"/>
      <c r="AH99" s="49"/>
      <c r="AI99" s="49"/>
    </row>
    <row r="100" spans="14:35" ht="11.25" customHeight="1">
      <c r="N100" s="49"/>
      <c r="O100" s="49"/>
      <c r="P100" s="49"/>
      <c r="Q100" s="49"/>
      <c r="R100" s="49"/>
      <c r="S100" s="49"/>
      <c r="AB100" s="49"/>
      <c r="AC100" s="49"/>
      <c r="AD100" s="49"/>
      <c r="AE100" s="49"/>
      <c r="AF100" s="49"/>
      <c r="AG100" s="49"/>
      <c r="AH100" s="49"/>
      <c r="AI100" s="49"/>
    </row>
    <row r="101" spans="14:35" ht="11.25" customHeight="1">
      <c r="N101" s="49"/>
      <c r="O101" s="49"/>
      <c r="P101" s="49"/>
      <c r="Q101" s="49"/>
      <c r="R101" s="49"/>
      <c r="S101" s="49"/>
      <c r="AB101" s="49"/>
      <c r="AC101" s="49"/>
      <c r="AD101" s="49"/>
      <c r="AE101" s="49"/>
      <c r="AF101" s="49"/>
      <c r="AG101" s="49"/>
      <c r="AH101" s="49"/>
      <c r="AI101" s="49"/>
    </row>
    <row r="102" spans="14:35" ht="11.25" customHeight="1">
      <c r="N102" s="49"/>
      <c r="O102" s="49"/>
      <c r="P102" s="49"/>
      <c r="Q102" s="49"/>
      <c r="R102" s="49"/>
      <c r="S102" s="49"/>
      <c r="AB102" s="49"/>
      <c r="AC102" s="49"/>
      <c r="AD102" s="49"/>
      <c r="AE102" s="49"/>
      <c r="AF102" s="49"/>
      <c r="AG102" s="49"/>
      <c r="AH102" s="49"/>
      <c r="AI102" s="49"/>
    </row>
    <row r="103" spans="14:35" ht="11.25" customHeight="1">
      <c r="N103" s="49"/>
      <c r="O103" s="49"/>
      <c r="P103" s="49"/>
      <c r="Q103" s="49"/>
      <c r="R103" s="49"/>
      <c r="S103" s="49"/>
      <c r="AB103" s="49"/>
      <c r="AC103" s="49"/>
      <c r="AD103" s="49"/>
      <c r="AE103" s="49"/>
      <c r="AF103" s="49"/>
      <c r="AG103" s="49"/>
      <c r="AH103" s="49"/>
      <c r="AI103" s="49"/>
    </row>
    <row r="104" spans="14:35" ht="11.25" customHeight="1">
      <c r="N104" s="49"/>
      <c r="O104" s="49"/>
      <c r="P104" s="49"/>
      <c r="Q104" s="49"/>
      <c r="R104" s="49"/>
      <c r="S104" s="49"/>
      <c r="AB104" s="49"/>
      <c r="AC104" s="49"/>
      <c r="AD104" s="49"/>
      <c r="AE104" s="49"/>
      <c r="AF104" s="49"/>
      <c r="AG104" s="49"/>
      <c r="AH104" s="49"/>
      <c r="AI104" s="49"/>
    </row>
    <row r="105" spans="14:35" ht="11.25" customHeight="1">
      <c r="N105" s="49"/>
      <c r="O105" s="49"/>
      <c r="P105" s="49"/>
      <c r="Q105" s="49"/>
      <c r="R105" s="49"/>
      <c r="S105" s="49"/>
      <c r="AB105" s="49"/>
      <c r="AC105" s="49"/>
      <c r="AD105" s="49"/>
      <c r="AE105" s="49"/>
      <c r="AF105" s="49"/>
      <c r="AG105" s="49"/>
      <c r="AH105" s="49"/>
      <c r="AI105" s="49"/>
    </row>
    <row r="106" spans="14:35" ht="11.25" customHeight="1">
      <c r="N106" s="49"/>
      <c r="O106" s="49"/>
      <c r="P106" s="49"/>
      <c r="Q106" s="49"/>
      <c r="R106" s="49"/>
      <c r="S106" s="49"/>
      <c r="AB106" s="49"/>
      <c r="AC106" s="49"/>
      <c r="AD106" s="49"/>
      <c r="AE106" s="49"/>
      <c r="AF106" s="49"/>
      <c r="AG106" s="49"/>
      <c r="AH106" s="49"/>
      <c r="AI106" s="49"/>
    </row>
    <row r="107" spans="14:35" ht="11.25" customHeight="1">
      <c r="N107" s="49"/>
      <c r="O107" s="49"/>
      <c r="P107" s="49"/>
      <c r="Q107" s="49"/>
      <c r="R107" s="49"/>
      <c r="S107" s="49"/>
      <c r="AB107" s="49"/>
      <c r="AC107" s="49"/>
      <c r="AD107" s="49"/>
      <c r="AE107" s="49"/>
      <c r="AF107" s="49"/>
      <c r="AG107" s="49"/>
      <c r="AH107" s="49"/>
      <c r="AI107" s="49"/>
    </row>
    <row r="108" spans="14:35" ht="11.25" customHeight="1">
      <c r="N108" s="49"/>
      <c r="O108" s="49"/>
      <c r="P108" s="49"/>
      <c r="Q108" s="49"/>
      <c r="R108" s="49"/>
      <c r="S108" s="49"/>
      <c r="AB108" s="49"/>
      <c r="AC108" s="49"/>
      <c r="AD108" s="49"/>
      <c r="AE108" s="49"/>
      <c r="AF108" s="49"/>
      <c r="AG108" s="49"/>
      <c r="AH108" s="49"/>
      <c r="AI108" s="49"/>
    </row>
    <row r="109" spans="14:35" ht="11.25" customHeight="1">
      <c r="N109" s="49"/>
      <c r="O109" s="49"/>
      <c r="P109" s="49"/>
      <c r="Q109" s="49"/>
      <c r="R109" s="49"/>
      <c r="S109" s="49"/>
      <c r="AB109" s="49"/>
      <c r="AC109" s="49"/>
      <c r="AD109" s="49"/>
      <c r="AE109" s="49"/>
      <c r="AF109" s="49"/>
      <c r="AG109" s="49"/>
      <c r="AH109" s="49"/>
      <c r="AI109" s="49"/>
    </row>
    <row r="110" spans="14:35" ht="11.25" customHeight="1">
      <c r="N110" s="49"/>
      <c r="O110" s="49"/>
      <c r="P110" s="49"/>
      <c r="Q110" s="49"/>
      <c r="R110" s="49"/>
      <c r="S110" s="49"/>
      <c r="AB110" s="49"/>
      <c r="AC110" s="49"/>
      <c r="AD110" s="49"/>
      <c r="AE110" s="49"/>
      <c r="AF110" s="49"/>
      <c r="AG110" s="49"/>
      <c r="AH110" s="49"/>
      <c r="AI110" s="49"/>
    </row>
    <row r="111" spans="14:35" ht="11.25" customHeight="1">
      <c r="N111" s="49"/>
      <c r="O111" s="49"/>
      <c r="P111" s="49"/>
      <c r="Q111" s="49"/>
      <c r="R111" s="49"/>
      <c r="S111" s="49"/>
      <c r="AB111" s="49"/>
      <c r="AC111" s="49"/>
      <c r="AD111" s="49"/>
      <c r="AE111" s="49"/>
      <c r="AF111" s="49"/>
      <c r="AG111" s="49"/>
      <c r="AH111" s="49"/>
      <c r="AI111" s="49"/>
    </row>
    <row r="112" spans="14:35" ht="11.25" customHeight="1">
      <c r="N112" s="49"/>
      <c r="O112" s="49"/>
      <c r="P112" s="49"/>
      <c r="Q112" s="49"/>
      <c r="R112" s="49"/>
      <c r="S112" s="49"/>
      <c r="AB112" s="49"/>
      <c r="AC112" s="49"/>
      <c r="AD112" s="49"/>
      <c r="AE112" s="49"/>
      <c r="AF112" s="49"/>
      <c r="AG112" s="49"/>
      <c r="AH112" s="49"/>
      <c r="AI112" s="49"/>
    </row>
    <row r="113" spans="14:35" ht="11.25" customHeight="1">
      <c r="N113" s="49"/>
      <c r="O113" s="49"/>
      <c r="P113" s="49"/>
      <c r="Q113" s="49"/>
      <c r="R113" s="49"/>
      <c r="S113" s="49"/>
      <c r="AB113" s="49"/>
      <c r="AC113" s="49"/>
      <c r="AD113" s="49"/>
      <c r="AE113" s="49"/>
      <c r="AF113" s="49"/>
      <c r="AG113" s="49"/>
      <c r="AH113" s="49"/>
      <c r="AI113" s="49"/>
    </row>
    <row r="114" spans="14:35" ht="11.25" customHeight="1">
      <c r="N114" s="49"/>
      <c r="O114" s="49"/>
      <c r="P114" s="49"/>
      <c r="Q114" s="49"/>
      <c r="R114" s="49"/>
      <c r="S114" s="49"/>
      <c r="AB114" s="49"/>
      <c r="AC114" s="49"/>
      <c r="AD114" s="49"/>
      <c r="AE114" s="49"/>
      <c r="AF114" s="49"/>
      <c r="AG114" s="49"/>
      <c r="AH114" s="49"/>
      <c r="AI114" s="49"/>
    </row>
    <row r="115" spans="14:35" ht="11.25" customHeight="1">
      <c r="N115" s="49"/>
      <c r="O115" s="49"/>
      <c r="P115" s="49"/>
      <c r="Q115" s="49"/>
      <c r="R115" s="49"/>
      <c r="S115" s="49"/>
      <c r="AB115" s="49"/>
      <c r="AC115" s="49"/>
      <c r="AD115" s="49"/>
      <c r="AE115" s="49"/>
      <c r="AF115" s="49"/>
      <c r="AG115" s="49"/>
      <c r="AH115" s="49"/>
      <c r="AI115" s="49"/>
    </row>
    <row r="116" spans="14:35" ht="11.25" customHeight="1">
      <c r="N116" s="49"/>
      <c r="O116" s="49"/>
      <c r="P116" s="49"/>
      <c r="Q116" s="49"/>
      <c r="R116" s="49"/>
      <c r="S116" s="49"/>
      <c r="AB116" s="49"/>
      <c r="AC116" s="49"/>
      <c r="AD116" s="49"/>
      <c r="AE116" s="49"/>
      <c r="AF116" s="49"/>
      <c r="AG116" s="49"/>
      <c r="AH116" s="49"/>
      <c r="AI116" s="49"/>
    </row>
    <row r="117" spans="14:35" ht="11.25" customHeight="1">
      <c r="N117" s="49"/>
      <c r="O117" s="49"/>
      <c r="P117" s="49"/>
      <c r="Q117" s="49"/>
      <c r="R117" s="49"/>
      <c r="S117" s="49"/>
      <c r="AB117" s="49"/>
      <c r="AC117" s="49"/>
      <c r="AD117" s="49"/>
      <c r="AE117" s="49"/>
      <c r="AF117" s="49"/>
      <c r="AG117" s="49"/>
      <c r="AH117" s="49"/>
      <c r="AI117" s="49"/>
    </row>
    <row r="118" spans="14:35" ht="11.25" customHeight="1">
      <c r="N118" s="49"/>
      <c r="O118" s="49"/>
      <c r="P118" s="49"/>
      <c r="Q118" s="49"/>
      <c r="R118" s="49"/>
      <c r="S118" s="49"/>
      <c r="AB118" s="49"/>
      <c r="AC118" s="49"/>
      <c r="AD118" s="49"/>
      <c r="AE118" s="49"/>
      <c r="AF118" s="49"/>
      <c r="AG118" s="49"/>
      <c r="AH118" s="49"/>
      <c r="AI118" s="49"/>
    </row>
    <row r="119" spans="14:35" ht="11.25" customHeight="1">
      <c r="N119" s="49"/>
      <c r="O119" s="49"/>
      <c r="P119" s="49"/>
      <c r="Q119" s="49"/>
      <c r="R119" s="49"/>
      <c r="S119" s="49"/>
      <c r="AB119" s="49"/>
      <c r="AC119" s="49"/>
      <c r="AD119" s="49"/>
      <c r="AE119" s="49"/>
      <c r="AF119" s="49"/>
      <c r="AG119" s="49"/>
      <c r="AH119" s="49"/>
      <c r="AI119" s="49"/>
    </row>
    <row r="120" spans="14:35" ht="11.25" customHeight="1">
      <c r="N120" s="49"/>
      <c r="O120" s="49"/>
      <c r="P120" s="49"/>
      <c r="Q120" s="49"/>
      <c r="R120" s="49"/>
      <c r="S120" s="49"/>
      <c r="AB120" s="49"/>
      <c r="AC120" s="49"/>
      <c r="AD120" s="49"/>
      <c r="AE120" s="49"/>
      <c r="AF120" s="49"/>
      <c r="AG120" s="49"/>
      <c r="AH120" s="49"/>
      <c r="AI120" s="49"/>
    </row>
    <row r="121" spans="14:35" ht="11.25" customHeight="1">
      <c r="N121" s="49"/>
      <c r="O121" s="49"/>
      <c r="P121" s="49"/>
      <c r="Q121" s="49"/>
      <c r="R121" s="49"/>
      <c r="S121" s="49"/>
      <c r="AB121" s="49"/>
      <c r="AC121" s="49"/>
      <c r="AD121" s="49"/>
      <c r="AE121" s="49"/>
      <c r="AF121" s="49"/>
      <c r="AG121" s="49"/>
      <c r="AH121" s="49"/>
      <c r="AI121" s="49"/>
    </row>
    <row r="122" spans="14:35" ht="11.25" customHeight="1">
      <c r="N122" s="49"/>
      <c r="O122" s="49"/>
      <c r="P122" s="49"/>
      <c r="Q122" s="49"/>
      <c r="R122" s="49"/>
      <c r="S122" s="49"/>
      <c r="AB122" s="49"/>
      <c r="AC122" s="49"/>
      <c r="AD122" s="49"/>
      <c r="AE122" s="49"/>
      <c r="AF122" s="49"/>
      <c r="AG122" s="49"/>
      <c r="AH122" s="49"/>
      <c r="AI122" s="49"/>
    </row>
    <row r="123" spans="14:35" ht="11.25" customHeight="1">
      <c r="N123" s="49"/>
      <c r="O123" s="49"/>
      <c r="P123" s="49"/>
      <c r="Q123" s="49"/>
      <c r="R123" s="49"/>
      <c r="S123" s="49"/>
      <c r="AB123" s="49"/>
      <c r="AC123" s="49"/>
      <c r="AD123" s="49"/>
      <c r="AE123" s="49"/>
      <c r="AF123" s="49"/>
      <c r="AG123" s="49"/>
      <c r="AH123" s="49"/>
      <c r="AI123" s="49"/>
    </row>
    <row r="124" spans="14:35" ht="11.25" customHeight="1">
      <c r="N124" s="49"/>
      <c r="O124" s="49"/>
      <c r="P124" s="49"/>
      <c r="Q124" s="49"/>
      <c r="R124" s="49"/>
      <c r="S124" s="49"/>
      <c r="AB124" s="49"/>
      <c r="AC124" s="49"/>
      <c r="AD124" s="49"/>
      <c r="AE124" s="49"/>
      <c r="AF124" s="49"/>
      <c r="AG124" s="49"/>
      <c r="AH124" s="49"/>
      <c r="AI124" s="49"/>
    </row>
    <row r="125" spans="14:35" ht="11.25" customHeight="1">
      <c r="N125" s="49"/>
      <c r="O125" s="49"/>
      <c r="P125" s="49"/>
      <c r="Q125" s="49"/>
      <c r="R125" s="49"/>
      <c r="S125" s="49"/>
      <c r="AB125" s="49"/>
      <c r="AC125" s="49"/>
      <c r="AD125" s="49"/>
      <c r="AE125" s="49"/>
      <c r="AF125" s="49"/>
      <c r="AG125" s="49"/>
      <c r="AH125" s="49"/>
      <c r="AI125" s="49"/>
    </row>
    <row r="126" spans="14:35" ht="11.25" customHeight="1">
      <c r="N126" s="49"/>
      <c r="O126" s="49"/>
      <c r="P126" s="49"/>
      <c r="Q126" s="49"/>
      <c r="R126" s="49"/>
      <c r="S126" s="49"/>
      <c r="AB126" s="49"/>
      <c r="AC126" s="49"/>
      <c r="AD126" s="49"/>
      <c r="AE126" s="49"/>
      <c r="AF126" s="49"/>
      <c r="AG126" s="49"/>
      <c r="AH126" s="49"/>
      <c r="AI126" s="49"/>
    </row>
    <row r="127" spans="14:35" ht="11.25" customHeight="1">
      <c r="N127" s="49"/>
      <c r="O127" s="49"/>
      <c r="P127" s="49"/>
      <c r="Q127" s="49"/>
      <c r="R127" s="49"/>
      <c r="S127" s="49"/>
      <c r="AB127" s="49"/>
      <c r="AC127" s="49"/>
      <c r="AD127" s="49"/>
      <c r="AE127" s="49"/>
      <c r="AF127" s="49"/>
      <c r="AG127" s="49"/>
      <c r="AH127" s="49"/>
      <c r="AI127" s="49"/>
    </row>
    <row r="128" spans="14:35" ht="11.25" customHeight="1">
      <c r="N128" s="49"/>
      <c r="O128" s="49"/>
      <c r="P128" s="49"/>
      <c r="Q128" s="49"/>
      <c r="R128" s="49"/>
      <c r="S128" s="49"/>
      <c r="AB128" s="49"/>
      <c r="AC128" s="49"/>
      <c r="AD128" s="49"/>
      <c r="AE128" s="49"/>
      <c r="AF128" s="49"/>
      <c r="AG128" s="49"/>
      <c r="AH128" s="49"/>
      <c r="AI128" s="49"/>
    </row>
    <row r="129" spans="14:35" ht="11.25" customHeight="1">
      <c r="N129" s="49"/>
      <c r="O129" s="49"/>
      <c r="P129" s="49"/>
      <c r="Q129" s="49"/>
      <c r="R129" s="49"/>
      <c r="S129" s="49"/>
      <c r="AB129" s="49"/>
      <c r="AC129" s="49"/>
      <c r="AD129" s="49"/>
      <c r="AE129" s="49"/>
      <c r="AF129" s="49"/>
      <c r="AG129" s="49"/>
      <c r="AH129" s="49"/>
      <c r="AI129" s="49"/>
    </row>
    <row r="130" spans="14:35" ht="11.25" customHeight="1">
      <c r="N130" s="49"/>
      <c r="O130" s="49"/>
      <c r="P130" s="49"/>
      <c r="Q130" s="49"/>
      <c r="R130" s="49"/>
      <c r="S130" s="49"/>
      <c r="AB130" s="49"/>
      <c r="AC130" s="49"/>
      <c r="AD130" s="49"/>
      <c r="AE130" s="49"/>
      <c r="AF130" s="49"/>
      <c r="AG130" s="49"/>
      <c r="AH130" s="49"/>
      <c r="AI130" s="49"/>
    </row>
    <row r="131" spans="14:35" ht="11.25" customHeight="1">
      <c r="N131" s="49"/>
      <c r="O131" s="49"/>
      <c r="P131" s="49"/>
      <c r="Q131" s="49"/>
      <c r="R131" s="49"/>
      <c r="S131" s="49"/>
      <c r="AB131" s="49"/>
      <c r="AC131" s="49"/>
      <c r="AD131" s="49"/>
      <c r="AE131" s="49"/>
      <c r="AF131" s="49"/>
      <c r="AG131" s="49"/>
      <c r="AH131" s="49"/>
      <c r="AI131" s="49"/>
    </row>
    <row r="132" spans="14:35" ht="11.25" customHeight="1">
      <c r="N132" s="49"/>
      <c r="O132" s="49"/>
      <c r="P132" s="49"/>
      <c r="Q132" s="49"/>
      <c r="R132" s="49"/>
      <c r="S132" s="49"/>
      <c r="AB132" s="49"/>
      <c r="AC132" s="49"/>
      <c r="AD132" s="49"/>
      <c r="AE132" s="49"/>
      <c r="AF132" s="49"/>
      <c r="AG132" s="49"/>
      <c r="AH132" s="49"/>
      <c r="AI132" s="49"/>
    </row>
    <row r="133" spans="14:35" ht="11.25" customHeight="1">
      <c r="N133" s="49"/>
      <c r="O133" s="49"/>
      <c r="P133" s="49"/>
      <c r="Q133" s="49"/>
      <c r="R133" s="49"/>
      <c r="S133" s="49"/>
      <c r="AB133" s="49"/>
      <c r="AC133" s="49"/>
      <c r="AD133" s="49"/>
      <c r="AE133" s="49"/>
      <c r="AF133" s="49"/>
      <c r="AG133" s="49"/>
      <c r="AH133" s="49"/>
      <c r="AI133" s="49"/>
    </row>
    <row r="134" spans="14:35" ht="11.25" customHeight="1">
      <c r="N134" s="49"/>
      <c r="O134" s="49"/>
      <c r="P134" s="49"/>
      <c r="Q134" s="49"/>
      <c r="R134" s="49"/>
      <c r="S134" s="49"/>
      <c r="AB134" s="49"/>
      <c r="AC134" s="49"/>
      <c r="AD134" s="49"/>
      <c r="AE134" s="49"/>
      <c r="AF134" s="49"/>
      <c r="AG134" s="49"/>
      <c r="AH134" s="49"/>
      <c r="AI134" s="49"/>
    </row>
    <row r="135" spans="14:35" ht="11.25" customHeight="1">
      <c r="N135" s="49"/>
      <c r="O135" s="49"/>
      <c r="P135" s="49"/>
      <c r="Q135" s="49"/>
      <c r="R135" s="49"/>
      <c r="S135" s="49"/>
      <c r="AB135" s="49"/>
      <c r="AC135" s="49"/>
      <c r="AD135" s="49"/>
      <c r="AE135" s="49"/>
      <c r="AF135" s="49"/>
      <c r="AG135" s="49"/>
      <c r="AH135" s="49"/>
      <c r="AI135" s="49"/>
    </row>
    <row r="136" spans="14:35" ht="11.25" customHeight="1">
      <c r="N136" s="49"/>
      <c r="O136" s="49"/>
      <c r="P136" s="49"/>
      <c r="Q136" s="49"/>
      <c r="R136" s="49"/>
      <c r="S136" s="49"/>
      <c r="AB136" s="49"/>
      <c r="AC136" s="49"/>
      <c r="AD136" s="49"/>
      <c r="AE136" s="49"/>
      <c r="AF136" s="49"/>
      <c r="AG136" s="49"/>
      <c r="AH136" s="49"/>
      <c r="AI136" s="49"/>
    </row>
    <row r="137" spans="14:35" ht="11.25" customHeight="1">
      <c r="N137" s="49"/>
      <c r="O137" s="49"/>
      <c r="P137" s="49"/>
      <c r="Q137" s="49"/>
      <c r="R137" s="49"/>
      <c r="S137" s="49"/>
      <c r="AB137" s="49"/>
      <c r="AC137" s="49"/>
      <c r="AD137" s="49"/>
      <c r="AE137" s="49"/>
      <c r="AF137" s="49"/>
      <c r="AG137" s="49"/>
      <c r="AH137" s="49"/>
      <c r="AI137" s="49"/>
    </row>
    <row r="138" spans="14:35" ht="11.25" customHeight="1">
      <c r="N138" s="49"/>
      <c r="O138" s="49"/>
      <c r="P138" s="49"/>
      <c r="Q138" s="49"/>
      <c r="R138" s="49"/>
      <c r="S138" s="49"/>
      <c r="AB138" s="49"/>
      <c r="AC138" s="49"/>
      <c r="AD138" s="49"/>
      <c r="AE138" s="49"/>
      <c r="AF138" s="49"/>
      <c r="AG138" s="49"/>
      <c r="AH138" s="49"/>
      <c r="AI138" s="49"/>
    </row>
    <row r="139" spans="14:35" ht="11.25" customHeight="1">
      <c r="N139" s="49"/>
      <c r="O139" s="49"/>
      <c r="P139" s="49"/>
      <c r="Q139" s="49"/>
      <c r="R139" s="49"/>
      <c r="S139" s="49"/>
      <c r="AB139" s="49"/>
      <c r="AC139" s="49"/>
      <c r="AD139" s="49"/>
      <c r="AE139" s="49"/>
      <c r="AF139" s="49"/>
      <c r="AG139" s="49"/>
      <c r="AH139" s="49"/>
      <c r="AI139" s="49"/>
    </row>
    <row r="140" spans="14:35" ht="11.25" customHeight="1">
      <c r="N140" s="49"/>
      <c r="O140" s="49"/>
      <c r="P140" s="49"/>
      <c r="Q140" s="49"/>
      <c r="R140" s="49"/>
      <c r="S140" s="49"/>
      <c r="AB140" s="49"/>
      <c r="AC140" s="49"/>
      <c r="AD140" s="49"/>
      <c r="AE140" s="49"/>
      <c r="AF140" s="49"/>
      <c r="AG140" s="49"/>
      <c r="AH140" s="49"/>
      <c r="AI140" s="49"/>
    </row>
    <row r="141" spans="14:35" ht="11.25" customHeight="1">
      <c r="N141" s="49"/>
      <c r="O141" s="49"/>
      <c r="P141" s="49"/>
      <c r="Q141" s="49"/>
      <c r="R141" s="49"/>
      <c r="S141" s="49"/>
      <c r="AB141" s="49"/>
      <c r="AC141" s="49"/>
      <c r="AD141" s="49"/>
      <c r="AE141" s="49"/>
      <c r="AF141" s="49"/>
      <c r="AG141" s="49"/>
      <c r="AH141" s="49"/>
      <c r="AI141" s="49"/>
    </row>
    <row r="142" spans="14:35" ht="11.25" customHeight="1">
      <c r="N142" s="49"/>
      <c r="O142" s="49"/>
      <c r="P142" s="49"/>
      <c r="Q142" s="49"/>
      <c r="R142" s="49"/>
      <c r="S142" s="49"/>
      <c r="AB142" s="49"/>
      <c r="AC142" s="49"/>
      <c r="AD142" s="49"/>
      <c r="AE142" s="49"/>
      <c r="AF142" s="49"/>
      <c r="AG142" s="49"/>
      <c r="AH142" s="49"/>
      <c r="AI142" s="49"/>
    </row>
    <row r="143" spans="14:35" ht="11.25" customHeight="1">
      <c r="N143" s="49"/>
      <c r="O143" s="49"/>
      <c r="P143" s="49"/>
      <c r="Q143" s="49"/>
      <c r="R143" s="49"/>
      <c r="S143" s="49"/>
      <c r="AB143" s="49"/>
      <c r="AC143" s="49"/>
      <c r="AD143" s="49"/>
      <c r="AE143" s="49"/>
      <c r="AF143" s="49"/>
      <c r="AG143" s="49"/>
      <c r="AH143" s="49"/>
      <c r="AI143" s="49"/>
    </row>
    <row r="144" spans="14:35" ht="11.25" customHeight="1">
      <c r="N144" s="49"/>
      <c r="O144" s="49"/>
      <c r="P144" s="49"/>
      <c r="Q144" s="49"/>
      <c r="R144" s="49"/>
      <c r="S144" s="49"/>
      <c r="AB144" s="49"/>
      <c r="AC144" s="49"/>
      <c r="AD144" s="49"/>
      <c r="AE144" s="49"/>
      <c r="AF144" s="49"/>
      <c r="AG144" s="49"/>
      <c r="AH144" s="49"/>
      <c r="AI144" s="49"/>
    </row>
    <row r="145" spans="14:35" ht="11.25" customHeight="1">
      <c r="N145" s="49"/>
      <c r="O145" s="49"/>
      <c r="P145" s="49"/>
      <c r="Q145" s="49"/>
      <c r="R145" s="49"/>
      <c r="S145" s="49"/>
      <c r="AB145" s="49"/>
      <c r="AC145" s="49"/>
      <c r="AD145" s="49"/>
      <c r="AE145" s="49"/>
      <c r="AF145" s="49"/>
      <c r="AG145" s="49"/>
      <c r="AH145" s="49"/>
      <c r="AI145" s="49"/>
    </row>
    <row r="146" spans="14:35" ht="11.25" customHeight="1">
      <c r="N146" s="49"/>
      <c r="O146" s="49"/>
      <c r="P146" s="49"/>
      <c r="Q146" s="49"/>
      <c r="R146" s="49"/>
      <c r="S146" s="49"/>
      <c r="AB146" s="49"/>
      <c r="AC146" s="49"/>
      <c r="AD146" s="49"/>
      <c r="AE146" s="49"/>
      <c r="AF146" s="49"/>
      <c r="AG146" s="49"/>
      <c r="AH146" s="49"/>
      <c r="AI146" s="49"/>
    </row>
    <row r="147" spans="14:35" ht="11.25" customHeight="1">
      <c r="N147" s="49"/>
      <c r="O147" s="49"/>
      <c r="P147" s="49"/>
      <c r="Q147" s="49"/>
      <c r="R147" s="49"/>
      <c r="S147" s="49"/>
      <c r="AB147" s="49"/>
      <c r="AC147" s="49"/>
      <c r="AD147" s="49"/>
      <c r="AE147" s="49"/>
      <c r="AF147" s="49"/>
      <c r="AG147" s="49"/>
      <c r="AH147" s="49"/>
      <c r="AI147" s="49"/>
    </row>
    <row r="148" spans="14:35" ht="11.25" customHeight="1">
      <c r="N148" s="49"/>
      <c r="O148" s="49"/>
      <c r="P148" s="49"/>
      <c r="Q148" s="49"/>
      <c r="R148" s="49"/>
      <c r="S148" s="49"/>
      <c r="AB148" s="49"/>
      <c r="AC148" s="49"/>
      <c r="AD148" s="49"/>
      <c r="AE148" s="49"/>
      <c r="AF148" s="49"/>
      <c r="AG148" s="49"/>
      <c r="AH148" s="49"/>
      <c r="AI148" s="49"/>
    </row>
    <row r="149" spans="14:35" ht="11.25" customHeight="1">
      <c r="N149" s="49"/>
      <c r="O149" s="49"/>
      <c r="P149" s="49"/>
      <c r="Q149" s="49"/>
      <c r="R149" s="49"/>
      <c r="S149" s="49"/>
      <c r="AB149" s="49"/>
      <c r="AC149" s="49"/>
      <c r="AD149" s="49"/>
      <c r="AE149" s="49"/>
      <c r="AF149" s="49"/>
      <c r="AG149" s="49"/>
      <c r="AH149" s="49"/>
      <c r="AI149" s="49"/>
    </row>
    <row r="150" spans="14:35" ht="11.25" customHeight="1">
      <c r="N150" s="49"/>
      <c r="O150" s="49"/>
      <c r="P150" s="49"/>
      <c r="Q150" s="49"/>
      <c r="R150" s="49"/>
      <c r="S150" s="49"/>
      <c r="AB150" s="49"/>
      <c r="AC150" s="49"/>
      <c r="AD150" s="49"/>
      <c r="AE150" s="49"/>
      <c r="AF150" s="49"/>
      <c r="AG150" s="49"/>
      <c r="AH150" s="49"/>
      <c r="AI150" s="49"/>
    </row>
    <row r="151" spans="14:35" ht="11.25" customHeight="1">
      <c r="N151" s="49"/>
      <c r="O151" s="49"/>
      <c r="P151" s="49"/>
      <c r="Q151" s="49"/>
      <c r="R151" s="49"/>
      <c r="S151" s="49"/>
      <c r="AB151" s="49"/>
      <c r="AC151" s="49"/>
      <c r="AD151" s="49"/>
      <c r="AE151" s="49"/>
      <c r="AF151" s="49"/>
      <c r="AG151" s="49"/>
      <c r="AH151" s="49"/>
      <c r="AI151" s="49"/>
    </row>
    <row r="152" spans="14:35" ht="11.25" customHeight="1">
      <c r="N152" s="49"/>
      <c r="O152" s="49"/>
      <c r="P152" s="49"/>
      <c r="Q152" s="49"/>
      <c r="R152" s="49"/>
      <c r="S152" s="49"/>
      <c r="AB152" s="49"/>
      <c r="AC152" s="49"/>
      <c r="AD152" s="49"/>
      <c r="AE152" s="49"/>
      <c r="AF152" s="49"/>
      <c r="AG152" s="49"/>
      <c r="AH152" s="49"/>
      <c r="AI152" s="49"/>
    </row>
    <row r="153" spans="14:35" ht="11.25" customHeight="1">
      <c r="N153" s="49"/>
      <c r="O153" s="49"/>
      <c r="P153" s="49"/>
      <c r="Q153" s="49"/>
      <c r="R153" s="49"/>
      <c r="S153" s="49"/>
      <c r="AB153" s="49"/>
      <c r="AC153" s="49"/>
      <c r="AD153" s="49"/>
      <c r="AE153" s="49"/>
      <c r="AF153" s="49"/>
      <c r="AG153" s="49"/>
      <c r="AH153" s="49"/>
      <c r="AI153" s="49"/>
    </row>
    <row r="154" spans="14:35" ht="11.25" customHeight="1">
      <c r="N154" s="49"/>
      <c r="O154" s="49"/>
      <c r="P154" s="49"/>
      <c r="Q154" s="49"/>
      <c r="R154" s="49"/>
      <c r="S154" s="49"/>
      <c r="AB154" s="49"/>
      <c r="AC154" s="49"/>
      <c r="AD154" s="49"/>
      <c r="AE154" s="49"/>
      <c r="AF154" s="49"/>
      <c r="AG154" s="49"/>
      <c r="AH154" s="49"/>
      <c r="AI154" s="49"/>
    </row>
    <row r="155" spans="14:35" ht="11.25" customHeight="1">
      <c r="N155" s="49"/>
      <c r="O155" s="49"/>
      <c r="P155" s="49"/>
      <c r="Q155" s="49"/>
      <c r="R155" s="49"/>
      <c r="S155" s="49"/>
      <c r="AB155" s="49"/>
      <c r="AC155" s="49"/>
      <c r="AD155" s="49"/>
      <c r="AE155" s="49"/>
      <c r="AF155" s="49"/>
      <c r="AG155" s="49"/>
      <c r="AH155" s="49"/>
      <c r="AI155" s="49"/>
    </row>
    <row r="156" spans="14:35" ht="11.25" customHeight="1">
      <c r="N156" s="49"/>
      <c r="O156" s="49"/>
      <c r="P156" s="49"/>
      <c r="Q156" s="49"/>
      <c r="R156" s="49"/>
      <c r="S156" s="49"/>
      <c r="AB156" s="49"/>
      <c r="AC156" s="49"/>
      <c r="AD156" s="49"/>
      <c r="AE156" s="49"/>
      <c r="AF156" s="49"/>
      <c r="AG156" s="49"/>
      <c r="AH156" s="49"/>
      <c r="AI156" s="49"/>
    </row>
    <row r="157" spans="14:35" ht="11.25" customHeight="1">
      <c r="N157" s="49"/>
      <c r="O157" s="49"/>
      <c r="P157" s="49"/>
      <c r="Q157" s="49"/>
      <c r="R157" s="49"/>
      <c r="S157" s="49"/>
      <c r="AB157" s="49"/>
      <c r="AC157" s="49"/>
      <c r="AD157" s="49"/>
      <c r="AE157" s="49"/>
      <c r="AF157" s="49"/>
      <c r="AG157" s="49"/>
      <c r="AH157" s="49"/>
      <c r="AI157" s="49"/>
    </row>
    <row r="158" spans="14:35" ht="11.25" customHeight="1">
      <c r="N158" s="49"/>
      <c r="O158" s="49"/>
      <c r="P158" s="49"/>
      <c r="Q158" s="49"/>
      <c r="R158" s="49"/>
      <c r="S158" s="49"/>
      <c r="AB158" s="49"/>
      <c r="AC158" s="49"/>
      <c r="AD158" s="49"/>
      <c r="AE158" s="49"/>
      <c r="AF158" s="49"/>
      <c r="AG158" s="49"/>
      <c r="AH158" s="49"/>
      <c r="AI158" s="49"/>
    </row>
    <row r="159" spans="14:35" ht="11.25" customHeight="1">
      <c r="N159" s="49"/>
      <c r="O159" s="49"/>
      <c r="P159" s="49"/>
      <c r="Q159" s="49"/>
      <c r="R159" s="49"/>
      <c r="S159" s="49"/>
      <c r="AB159" s="49"/>
      <c r="AC159" s="49"/>
      <c r="AD159" s="49"/>
      <c r="AE159" s="49"/>
      <c r="AF159" s="49"/>
      <c r="AG159" s="49"/>
      <c r="AH159" s="49"/>
      <c r="AI159" s="49"/>
    </row>
    <row r="160" spans="14:35" ht="11.25" customHeight="1">
      <c r="N160" s="49"/>
      <c r="O160" s="49"/>
      <c r="P160" s="49"/>
      <c r="Q160" s="49"/>
      <c r="R160" s="49"/>
      <c r="S160" s="49"/>
      <c r="AB160" s="49"/>
      <c r="AC160" s="49"/>
      <c r="AD160" s="49"/>
      <c r="AE160" s="49"/>
      <c r="AF160" s="49"/>
      <c r="AG160" s="49"/>
      <c r="AH160" s="49"/>
      <c r="AI160" s="49"/>
    </row>
    <row r="161" spans="14:35" ht="11.25" customHeight="1">
      <c r="N161" s="49"/>
      <c r="O161" s="49"/>
      <c r="P161" s="49"/>
      <c r="Q161" s="49"/>
      <c r="R161" s="49"/>
      <c r="S161" s="49"/>
      <c r="AB161" s="49"/>
      <c r="AC161" s="49"/>
      <c r="AD161" s="49"/>
      <c r="AE161" s="49"/>
      <c r="AF161" s="49"/>
      <c r="AG161" s="49"/>
      <c r="AH161" s="49"/>
      <c r="AI161" s="49"/>
    </row>
    <row r="162" spans="14:35" ht="11.25" customHeight="1">
      <c r="N162" s="49"/>
      <c r="O162" s="49"/>
      <c r="P162" s="49"/>
      <c r="Q162" s="49"/>
      <c r="R162" s="49"/>
      <c r="S162" s="49"/>
      <c r="AB162" s="49"/>
      <c r="AC162" s="49"/>
      <c r="AD162" s="49"/>
      <c r="AE162" s="49"/>
      <c r="AF162" s="49"/>
      <c r="AG162" s="49"/>
      <c r="AH162" s="49"/>
      <c r="AI162" s="49"/>
    </row>
    <row r="163" spans="14:35" ht="11.25" customHeight="1">
      <c r="N163" s="49"/>
      <c r="O163" s="49"/>
      <c r="P163" s="49"/>
      <c r="Q163" s="49"/>
      <c r="R163" s="49"/>
      <c r="S163" s="49"/>
      <c r="AB163" s="49"/>
      <c r="AC163" s="49"/>
      <c r="AD163" s="49"/>
      <c r="AE163" s="49"/>
      <c r="AF163" s="49"/>
      <c r="AG163" s="49"/>
      <c r="AH163" s="49"/>
      <c r="AI163" s="49"/>
    </row>
    <row r="164" spans="14:35" ht="11.25" customHeight="1">
      <c r="N164" s="49"/>
      <c r="O164" s="49"/>
      <c r="P164" s="49"/>
      <c r="Q164" s="49"/>
      <c r="R164" s="49"/>
      <c r="S164" s="49"/>
      <c r="AB164" s="49"/>
      <c r="AC164" s="49"/>
      <c r="AD164" s="49"/>
      <c r="AE164" s="49"/>
      <c r="AF164" s="49"/>
      <c r="AG164" s="49"/>
      <c r="AH164" s="49"/>
      <c r="AI164" s="49"/>
    </row>
    <row r="165" spans="14:35" ht="11.25" customHeight="1">
      <c r="N165" s="49"/>
      <c r="O165" s="49"/>
      <c r="P165" s="49"/>
      <c r="Q165" s="49"/>
      <c r="R165" s="49"/>
      <c r="S165" s="49"/>
      <c r="AB165" s="49"/>
      <c r="AC165" s="49"/>
      <c r="AD165" s="49"/>
      <c r="AE165" s="49"/>
      <c r="AF165" s="49"/>
      <c r="AG165" s="49"/>
      <c r="AH165" s="49"/>
      <c r="AI165" s="49"/>
    </row>
    <row r="166" spans="14:35" ht="11.25" customHeight="1">
      <c r="N166" s="49"/>
      <c r="O166" s="49"/>
      <c r="P166" s="49"/>
      <c r="Q166" s="49"/>
      <c r="R166" s="49"/>
      <c r="S166" s="49"/>
      <c r="AB166" s="49"/>
      <c r="AC166" s="49"/>
      <c r="AD166" s="49"/>
      <c r="AE166" s="49"/>
      <c r="AF166" s="49"/>
      <c r="AG166" s="49"/>
      <c r="AH166" s="49"/>
      <c r="AI166" s="49"/>
    </row>
    <row r="167" spans="14:35" ht="11.25" customHeight="1">
      <c r="N167" s="49"/>
      <c r="O167" s="49"/>
      <c r="P167" s="49"/>
      <c r="Q167" s="49"/>
      <c r="R167" s="49"/>
      <c r="S167" s="49"/>
      <c r="AB167" s="49"/>
      <c r="AC167" s="49"/>
      <c r="AD167" s="49"/>
      <c r="AE167" s="49"/>
      <c r="AF167" s="49"/>
      <c r="AG167" s="49"/>
      <c r="AH167" s="49"/>
      <c r="AI167" s="49"/>
    </row>
    <row r="168" spans="14:35" ht="11.25" customHeight="1">
      <c r="N168" s="49"/>
      <c r="O168" s="49"/>
      <c r="P168" s="49"/>
      <c r="Q168" s="49"/>
      <c r="R168" s="49"/>
      <c r="S168" s="49"/>
      <c r="AB168" s="49"/>
      <c r="AC168" s="49"/>
      <c r="AD168" s="49"/>
      <c r="AE168" s="49"/>
      <c r="AF168" s="49"/>
      <c r="AG168" s="49"/>
      <c r="AH168" s="49"/>
      <c r="AI168" s="49"/>
    </row>
    <row r="169" spans="14:35" ht="11.25" customHeight="1">
      <c r="N169" s="49"/>
      <c r="O169" s="49"/>
      <c r="P169" s="49"/>
      <c r="Q169" s="49"/>
      <c r="R169" s="49"/>
      <c r="S169" s="49"/>
      <c r="AB169" s="49"/>
      <c r="AC169" s="49"/>
      <c r="AD169" s="49"/>
      <c r="AE169" s="49"/>
      <c r="AF169" s="49"/>
      <c r="AG169" s="49"/>
      <c r="AH169" s="49"/>
      <c r="AI169" s="49"/>
    </row>
    <row r="170" spans="14:35" ht="11.25" customHeight="1">
      <c r="N170" s="49"/>
      <c r="O170" s="49"/>
      <c r="P170" s="49"/>
      <c r="Q170" s="49"/>
      <c r="R170" s="49"/>
      <c r="S170" s="49"/>
      <c r="AB170" s="49"/>
      <c r="AC170" s="49"/>
      <c r="AD170" s="49"/>
      <c r="AE170" s="49"/>
      <c r="AF170" s="49"/>
      <c r="AG170" s="49"/>
      <c r="AH170" s="49"/>
      <c r="AI170" s="49"/>
    </row>
    <row r="171" spans="14:35" ht="11.25" customHeight="1">
      <c r="N171" s="49"/>
      <c r="O171" s="49"/>
      <c r="P171" s="49"/>
      <c r="Q171" s="49"/>
      <c r="R171" s="49"/>
      <c r="S171" s="49"/>
      <c r="AB171" s="49"/>
      <c r="AC171" s="49"/>
      <c r="AD171" s="49"/>
      <c r="AE171" s="49"/>
      <c r="AF171" s="49"/>
      <c r="AG171" s="49"/>
      <c r="AH171" s="49"/>
      <c r="AI171" s="49"/>
    </row>
    <row r="172" spans="14:35" ht="11.25" customHeight="1">
      <c r="N172" s="49"/>
      <c r="O172" s="49"/>
      <c r="P172" s="49"/>
      <c r="Q172" s="49"/>
      <c r="R172" s="49"/>
      <c r="S172" s="49"/>
      <c r="AB172" s="49"/>
      <c r="AC172" s="49"/>
      <c r="AD172" s="49"/>
      <c r="AE172" s="49"/>
      <c r="AF172" s="49"/>
      <c r="AG172" s="49"/>
      <c r="AH172" s="49"/>
      <c r="AI172" s="49"/>
    </row>
    <row r="173" spans="14:35" ht="11.25" customHeight="1">
      <c r="N173" s="49"/>
      <c r="O173" s="49"/>
      <c r="P173" s="49"/>
      <c r="Q173" s="49"/>
      <c r="R173" s="49"/>
      <c r="S173" s="49"/>
      <c r="AB173" s="49"/>
      <c r="AC173" s="49"/>
      <c r="AD173" s="49"/>
      <c r="AE173" s="49"/>
      <c r="AF173" s="49"/>
      <c r="AG173" s="49"/>
      <c r="AH173" s="49"/>
      <c r="AI173" s="49"/>
    </row>
    <row r="174" spans="14:35" ht="11.25" customHeight="1">
      <c r="N174" s="49"/>
      <c r="O174" s="49"/>
      <c r="P174" s="49"/>
      <c r="Q174" s="49"/>
      <c r="R174" s="49"/>
      <c r="S174" s="49"/>
      <c r="AB174" s="49"/>
      <c r="AC174" s="49"/>
      <c r="AD174" s="49"/>
      <c r="AE174" s="49"/>
      <c r="AF174" s="49"/>
      <c r="AG174" s="49"/>
      <c r="AH174" s="49"/>
      <c r="AI174" s="49"/>
    </row>
    <row r="175" spans="14:35" ht="11.25" customHeight="1">
      <c r="N175" s="49"/>
      <c r="O175" s="49"/>
      <c r="P175" s="49"/>
      <c r="Q175" s="49"/>
      <c r="R175" s="49"/>
      <c r="S175" s="49"/>
      <c r="AB175" s="49"/>
      <c r="AC175" s="49"/>
      <c r="AD175" s="49"/>
      <c r="AE175" s="49"/>
      <c r="AF175" s="49"/>
      <c r="AG175" s="49"/>
      <c r="AH175" s="49"/>
      <c r="AI175" s="49"/>
    </row>
    <row r="176" spans="14:35" ht="11.25" customHeight="1">
      <c r="N176" s="49"/>
      <c r="O176" s="49"/>
      <c r="P176" s="49"/>
      <c r="Q176" s="49"/>
      <c r="R176" s="49"/>
      <c r="S176" s="49"/>
      <c r="AB176" s="49"/>
      <c r="AC176" s="49"/>
      <c r="AD176" s="49"/>
      <c r="AE176" s="49"/>
      <c r="AF176" s="49"/>
      <c r="AG176" s="49"/>
      <c r="AH176" s="49"/>
      <c r="AI176" s="49"/>
    </row>
    <row r="177" spans="14:35" ht="11.25" customHeight="1">
      <c r="N177" s="49"/>
      <c r="O177" s="49"/>
      <c r="P177" s="49"/>
      <c r="Q177" s="49"/>
      <c r="R177" s="49"/>
      <c r="S177" s="49"/>
      <c r="AB177" s="49"/>
      <c r="AC177" s="49"/>
      <c r="AD177" s="49"/>
      <c r="AE177" s="49"/>
      <c r="AF177" s="49"/>
      <c r="AG177" s="49"/>
      <c r="AH177" s="49"/>
      <c r="AI177" s="49"/>
    </row>
    <row r="178" spans="14:35" ht="11.25" customHeight="1">
      <c r="N178" s="49"/>
      <c r="O178" s="49"/>
      <c r="P178" s="49"/>
      <c r="Q178" s="49"/>
      <c r="R178" s="49"/>
      <c r="S178" s="49"/>
      <c r="AB178" s="49"/>
      <c r="AC178" s="49"/>
      <c r="AD178" s="49"/>
      <c r="AE178" s="49"/>
      <c r="AF178" s="49"/>
      <c r="AG178" s="49"/>
      <c r="AH178" s="49"/>
      <c r="AI178" s="49"/>
    </row>
    <row r="179" spans="14:35" ht="11.25" customHeight="1">
      <c r="N179" s="49"/>
      <c r="O179" s="49"/>
      <c r="P179" s="49"/>
      <c r="Q179" s="49"/>
      <c r="R179" s="49"/>
      <c r="S179" s="49"/>
      <c r="AB179" s="49"/>
      <c r="AC179" s="49"/>
      <c r="AD179" s="49"/>
      <c r="AE179" s="49"/>
      <c r="AF179" s="49"/>
      <c r="AG179" s="49"/>
      <c r="AH179" s="49"/>
      <c r="AI179" s="49"/>
    </row>
    <row r="180" spans="14:35" ht="11.25" customHeight="1">
      <c r="N180" s="49"/>
      <c r="O180" s="49"/>
      <c r="P180" s="49"/>
      <c r="Q180" s="49"/>
      <c r="R180" s="49"/>
      <c r="S180" s="49"/>
      <c r="AB180" s="49"/>
      <c r="AC180" s="49"/>
      <c r="AD180" s="49"/>
      <c r="AE180" s="49"/>
      <c r="AF180" s="49"/>
      <c r="AG180" s="49"/>
      <c r="AH180" s="49"/>
      <c r="AI180" s="49"/>
    </row>
    <row r="181" spans="14:35" ht="11.25" customHeight="1">
      <c r="N181" s="49"/>
      <c r="O181" s="49"/>
      <c r="P181" s="49"/>
      <c r="Q181" s="49"/>
      <c r="R181" s="49"/>
      <c r="S181" s="49"/>
      <c r="AB181" s="49"/>
      <c r="AC181" s="49"/>
      <c r="AD181" s="49"/>
      <c r="AE181" s="49"/>
      <c r="AF181" s="49"/>
      <c r="AG181" s="49"/>
      <c r="AH181" s="49"/>
      <c r="AI181" s="49"/>
    </row>
    <row r="182" spans="14:35" ht="11.25" customHeight="1">
      <c r="N182" s="49"/>
      <c r="O182" s="49"/>
      <c r="P182" s="49"/>
      <c r="Q182" s="49"/>
      <c r="R182" s="49"/>
      <c r="S182" s="49"/>
      <c r="AB182" s="49"/>
      <c r="AC182" s="49"/>
      <c r="AD182" s="49"/>
      <c r="AE182" s="49"/>
      <c r="AF182" s="49"/>
      <c r="AG182" s="49"/>
      <c r="AH182" s="49"/>
      <c r="AI182" s="49"/>
    </row>
    <row r="183" spans="14:35" ht="11.25" customHeight="1">
      <c r="N183" s="49"/>
      <c r="O183" s="49"/>
      <c r="P183" s="49"/>
      <c r="Q183" s="49"/>
      <c r="R183" s="49"/>
      <c r="S183" s="49"/>
      <c r="AB183" s="49"/>
      <c r="AC183" s="49"/>
      <c r="AD183" s="49"/>
      <c r="AE183" s="49"/>
      <c r="AF183" s="49"/>
      <c r="AG183" s="49"/>
      <c r="AH183" s="49"/>
      <c r="AI183" s="49"/>
    </row>
    <row r="184" spans="14:35" ht="11.25" customHeight="1">
      <c r="N184" s="49"/>
      <c r="O184" s="49"/>
      <c r="P184" s="49"/>
      <c r="Q184" s="49"/>
      <c r="R184" s="49"/>
      <c r="S184" s="49"/>
      <c r="AB184" s="49"/>
      <c r="AC184" s="49"/>
      <c r="AD184" s="49"/>
      <c r="AE184" s="49"/>
      <c r="AF184" s="49"/>
      <c r="AG184" s="49"/>
      <c r="AH184" s="49"/>
      <c r="AI184" s="49"/>
    </row>
    <row r="185" spans="14:35" ht="11.25" customHeight="1">
      <c r="N185" s="49"/>
      <c r="O185" s="49"/>
      <c r="P185" s="49"/>
      <c r="Q185" s="49"/>
      <c r="R185" s="49"/>
      <c r="S185" s="49"/>
      <c r="AB185" s="49"/>
      <c r="AC185" s="49"/>
      <c r="AD185" s="49"/>
      <c r="AE185" s="49"/>
      <c r="AF185" s="49"/>
      <c r="AG185" s="49"/>
      <c r="AH185" s="49"/>
      <c r="AI185" s="49"/>
    </row>
    <row r="186" spans="14:35" ht="11.25" customHeight="1">
      <c r="N186" s="49"/>
      <c r="O186" s="49"/>
      <c r="P186" s="49"/>
      <c r="Q186" s="49"/>
      <c r="R186" s="49"/>
      <c r="S186" s="49"/>
      <c r="AB186" s="49"/>
      <c r="AC186" s="49"/>
      <c r="AD186" s="49"/>
      <c r="AE186" s="49"/>
      <c r="AF186" s="49"/>
      <c r="AG186" s="49"/>
      <c r="AH186" s="49"/>
      <c r="AI186" s="49"/>
    </row>
    <row r="187" spans="14:35" ht="11.25" customHeight="1">
      <c r="N187" s="49"/>
      <c r="O187" s="49"/>
      <c r="P187" s="49"/>
      <c r="Q187" s="49"/>
      <c r="R187" s="49"/>
      <c r="S187" s="49"/>
      <c r="AB187" s="49"/>
      <c r="AC187" s="49"/>
      <c r="AD187" s="49"/>
      <c r="AE187" s="49"/>
      <c r="AF187" s="49"/>
      <c r="AG187" s="49"/>
      <c r="AH187" s="49"/>
      <c r="AI187" s="49"/>
    </row>
    <row r="188" spans="14:35" ht="11.25" customHeight="1">
      <c r="N188" s="49"/>
      <c r="O188" s="49"/>
      <c r="P188" s="49"/>
      <c r="Q188" s="49"/>
      <c r="R188" s="49"/>
      <c r="S188" s="49"/>
      <c r="AB188" s="49"/>
      <c r="AC188" s="49"/>
      <c r="AD188" s="49"/>
      <c r="AE188" s="49"/>
      <c r="AF188" s="49"/>
      <c r="AG188" s="49"/>
      <c r="AH188" s="49"/>
      <c r="AI188" s="49"/>
    </row>
    <row r="189" spans="14:35" ht="11.25" customHeight="1">
      <c r="N189" s="49"/>
      <c r="O189" s="49"/>
      <c r="P189" s="49"/>
      <c r="Q189" s="49"/>
      <c r="R189" s="49"/>
      <c r="S189" s="49"/>
      <c r="AB189" s="49"/>
      <c r="AC189" s="49"/>
      <c r="AD189" s="49"/>
      <c r="AE189" s="49"/>
      <c r="AF189" s="49"/>
      <c r="AG189" s="49"/>
      <c r="AH189" s="49"/>
      <c r="AI189" s="49"/>
    </row>
    <row r="190" spans="14:35" ht="11.25" customHeight="1">
      <c r="N190" s="49"/>
      <c r="O190" s="49"/>
      <c r="P190" s="49"/>
      <c r="Q190" s="49"/>
      <c r="R190" s="49"/>
      <c r="S190" s="49"/>
      <c r="AB190" s="49"/>
      <c r="AC190" s="49"/>
      <c r="AD190" s="49"/>
      <c r="AE190" s="49"/>
      <c r="AF190" s="49"/>
      <c r="AG190" s="49"/>
      <c r="AH190" s="49"/>
      <c r="AI190" s="49"/>
    </row>
    <row r="191" spans="14:35" ht="11.25" customHeight="1">
      <c r="N191" s="49"/>
      <c r="O191" s="49"/>
      <c r="P191" s="49"/>
      <c r="Q191" s="49"/>
      <c r="R191" s="49"/>
      <c r="S191" s="49"/>
      <c r="AB191" s="49"/>
      <c r="AC191" s="49"/>
      <c r="AD191" s="49"/>
      <c r="AE191" s="49"/>
      <c r="AF191" s="49"/>
      <c r="AG191" s="49"/>
      <c r="AH191" s="49"/>
      <c r="AI191" s="49"/>
    </row>
    <row r="192" spans="14:35" ht="11.25" customHeight="1">
      <c r="N192" s="49"/>
      <c r="O192" s="49"/>
      <c r="P192" s="49"/>
      <c r="Q192" s="49"/>
      <c r="R192" s="49"/>
      <c r="S192" s="49"/>
      <c r="AB192" s="49"/>
      <c r="AC192" s="49"/>
      <c r="AD192" s="49"/>
      <c r="AE192" s="49"/>
      <c r="AF192" s="49"/>
      <c r="AG192" s="49"/>
      <c r="AH192" s="49"/>
      <c r="AI192" s="49"/>
    </row>
    <row r="193" spans="14:35" ht="11.25" customHeight="1">
      <c r="N193" s="49"/>
      <c r="O193" s="49"/>
      <c r="P193" s="49"/>
      <c r="Q193" s="49"/>
      <c r="R193" s="49"/>
      <c r="S193" s="49"/>
      <c r="AB193" s="49"/>
      <c r="AC193" s="49"/>
      <c r="AD193" s="49"/>
      <c r="AE193" s="49"/>
      <c r="AF193" s="49"/>
      <c r="AG193" s="49"/>
      <c r="AH193" s="49"/>
      <c r="AI193" s="49"/>
    </row>
    <row r="194" spans="14:35" ht="11.25" customHeight="1">
      <c r="N194" s="49"/>
      <c r="O194" s="49"/>
      <c r="P194" s="49"/>
      <c r="Q194" s="49"/>
      <c r="R194" s="49"/>
      <c r="S194" s="49"/>
      <c r="AB194" s="49"/>
      <c r="AC194" s="49"/>
      <c r="AD194" s="49"/>
      <c r="AE194" s="49"/>
      <c r="AF194" s="49"/>
      <c r="AG194" s="49"/>
      <c r="AH194" s="49"/>
      <c r="AI194" s="49"/>
    </row>
    <row r="195" spans="14:35" ht="11.25" customHeight="1">
      <c r="N195" s="49"/>
      <c r="O195" s="49"/>
      <c r="P195" s="49"/>
      <c r="Q195" s="49"/>
      <c r="R195" s="49"/>
      <c r="S195" s="49"/>
      <c r="AB195" s="49"/>
      <c r="AC195" s="49"/>
      <c r="AD195" s="49"/>
      <c r="AE195" s="49"/>
      <c r="AF195" s="49"/>
      <c r="AG195" s="49"/>
      <c r="AH195" s="49"/>
      <c r="AI195" s="49"/>
    </row>
    <row r="196" spans="14:35" ht="11.25" customHeight="1">
      <c r="N196" s="49"/>
      <c r="O196" s="49"/>
      <c r="P196" s="49"/>
      <c r="Q196" s="49"/>
      <c r="R196" s="49"/>
      <c r="S196" s="49"/>
      <c r="AB196" s="49"/>
      <c r="AC196" s="49"/>
      <c r="AD196" s="49"/>
      <c r="AE196" s="49"/>
      <c r="AF196" s="49"/>
      <c r="AG196" s="49"/>
      <c r="AH196" s="49"/>
      <c r="AI196" s="49"/>
    </row>
    <row r="197" spans="14:35" ht="11.25" customHeight="1">
      <c r="N197" s="49"/>
      <c r="O197" s="49"/>
      <c r="P197" s="49"/>
      <c r="Q197" s="49"/>
      <c r="R197" s="49"/>
      <c r="S197" s="49"/>
      <c r="AB197" s="49"/>
      <c r="AC197" s="49"/>
      <c r="AD197" s="49"/>
      <c r="AE197" s="49"/>
      <c r="AF197" s="49"/>
      <c r="AG197" s="49"/>
      <c r="AH197" s="49"/>
      <c r="AI197" s="49"/>
    </row>
    <row r="198" spans="14:35" ht="11.25" customHeight="1">
      <c r="N198" s="49"/>
      <c r="O198" s="49"/>
      <c r="P198" s="49"/>
      <c r="Q198" s="49"/>
      <c r="R198" s="49"/>
      <c r="S198" s="49"/>
      <c r="AB198" s="49"/>
      <c r="AC198" s="49"/>
      <c r="AD198" s="49"/>
      <c r="AE198" s="49"/>
      <c r="AF198" s="49"/>
      <c r="AG198" s="49"/>
      <c r="AH198" s="49"/>
      <c r="AI198" s="49"/>
    </row>
    <row r="199" spans="14:35" ht="11.25" customHeight="1">
      <c r="N199" s="49"/>
      <c r="O199" s="49"/>
      <c r="P199" s="49"/>
      <c r="Q199" s="49"/>
      <c r="R199" s="49"/>
      <c r="S199" s="49"/>
      <c r="AB199" s="49"/>
      <c r="AC199" s="49"/>
      <c r="AD199" s="49"/>
      <c r="AE199" s="49"/>
      <c r="AF199" s="49"/>
      <c r="AG199" s="49"/>
      <c r="AH199" s="49"/>
      <c r="AI199" s="49"/>
    </row>
    <row r="200" spans="14:35" ht="11.25" customHeight="1">
      <c r="N200" s="49"/>
      <c r="O200" s="49"/>
      <c r="P200" s="49"/>
      <c r="Q200" s="49"/>
      <c r="R200" s="49"/>
      <c r="S200" s="49"/>
      <c r="AB200" s="49"/>
      <c r="AC200" s="49"/>
      <c r="AD200" s="49"/>
      <c r="AE200" s="49"/>
      <c r="AF200" s="49"/>
      <c r="AG200" s="49"/>
      <c r="AH200" s="49"/>
      <c r="AI200" s="49"/>
    </row>
    <row r="201" spans="14:35" ht="11.25" customHeight="1">
      <c r="N201" s="49"/>
      <c r="O201" s="49"/>
      <c r="P201" s="49"/>
      <c r="Q201" s="49"/>
      <c r="R201" s="49"/>
      <c r="S201" s="49"/>
      <c r="AB201" s="49"/>
      <c r="AC201" s="49"/>
      <c r="AD201" s="49"/>
      <c r="AE201" s="49"/>
      <c r="AF201" s="49"/>
      <c r="AG201" s="49"/>
      <c r="AH201" s="49"/>
      <c r="AI201" s="49"/>
    </row>
    <row r="202" spans="14:35" ht="11.25" customHeight="1">
      <c r="N202" s="49"/>
      <c r="O202" s="49"/>
      <c r="P202" s="49"/>
      <c r="Q202" s="49"/>
      <c r="R202" s="49"/>
      <c r="S202" s="49"/>
      <c r="AB202" s="49"/>
      <c r="AC202" s="49"/>
      <c r="AD202" s="49"/>
      <c r="AE202" s="49"/>
      <c r="AF202" s="49"/>
      <c r="AG202" s="49"/>
      <c r="AH202" s="49"/>
      <c r="AI202" s="49"/>
    </row>
    <row r="203" spans="14:35" ht="11.25" customHeight="1">
      <c r="N203" s="49"/>
      <c r="O203" s="49"/>
      <c r="P203" s="49"/>
      <c r="Q203" s="49"/>
      <c r="R203" s="49"/>
      <c r="S203" s="49"/>
      <c r="AB203" s="49"/>
      <c r="AC203" s="49"/>
      <c r="AD203" s="49"/>
      <c r="AE203" s="49"/>
      <c r="AF203" s="49"/>
      <c r="AG203" s="49"/>
      <c r="AH203" s="49"/>
      <c r="AI203" s="49"/>
    </row>
    <row r="204" spans="14:35" ht="11.25" customHeight="1">
      <c r="N204" s="49"/>
      <c r="O204" s="49"/>
      <c r="P204" s="49"/>
      <c r="Q204" s="49"/>
      <c r="R204" s="49"/>
      <c r="S204" s="49"/>
      <c r="AB204" s="49"/>
      <c r="AC204" s="49"/>
      <c r="AD204" s="49"/>
      <c r="AE204" s="49"/>
      <c r="AF204" s="49"/>
      <c r="AG204" s="49"/>
      <c r="AH204" s="49"/>
      <c r="AI204" s="49"/>
    </row>
    <row r="205" spans="14:35" ht="11.25" customHeight="1">
      <c r="N205" s="49"/>
      <c r="O205" s="49"/>
      <c r="P205" s="49"/>
      <c r="Q205" s="49"/>
      <c r="R205" s="49"/>
      <c r="S205" s="49"/>
      <c r="AB205" s="49"/>
      <c r="AC205" s="49"/>
      <c r="AD205" s="49"/>
      <c r="AE205" s="49"/>
      <c r="AF205" s="49"/>
      <c r="AG205" s="49"/>
      <c r="AH205" s="49"/>
      <c r="AI205" s="49"/>
    </row>
    <row r="206" spans="14:35" ht="11.25" customHeight="1">
      <c r="N206" s="49"/>
      <c r="O206" s="49"/>
      <c r="P206" s="49"/>
      <c r="Q206" s="49"/>
      <c r="R206" s="49"/>
      <c r="S206" s="49"/>
      <c r="AB206" s="49"/>
      <c r="AC206" s="49"/>
      <c r="AD206" s="49"/>
      <c r="AE206" s="49"/>
      <c r="AF206" s="49"/>
      <c r="AG206" s="49"/>
      <c r="AH206" s="49"/>
      <c r="AI206" s="49"/>
    </row>
    <row r="207" spans="14:35" ht="11.25" customHeight="1">
      <c r="N207" s="49"/>
      <c r="O207" s="49"/>
      <c r="P207" s="49"/>
      <c r="Q207" s="49"/>
      <c r="R207" s="49"/>
      <c r="S207" s="49"/>
      <c r="AB207" s="49"/>
      <c r="AC207" s="49"/>
      <c r="AD207" s="49"/>
      <c r="AE207" s="49"/>
      <c r="AF207" s="49"/>
      <c r="AG207" s="49"/>
      <c r="AH207" s="49"/>
      <c r="AI207" s="49"/>
    </row>
    <row r="208" spans="14:35" ht="11.25" customHeight="1">
      <c r="N208" s="49"/>
      <c r="O208" s="49"/>
      <c r="P208" s="49"/>
      <c r="Q208" s="49"/>
      <c r="R208" s="49"/>
      <c r="S208" s="49"/>
      <c r="AB208" s="49"/>
      <c r="AC208" s="49"/>
      <c r="AD208" s="49"/>
      <c r="AE208" s="49"/>
      <c r="AF208" s="49"/>
      <c r="AG208" s="49"/>
      <c r="AH208" s="49"/>
      <c r="AI208" s="49"/>
    </row>
    <row r="209" spans="14:35" ht="11.25" customHeight="1">
      <c r="N209" s="49"/>
      <c r="O209" s="49"/>
      <c r="P209" s="49"/>
      <c r="Q209" s="49"/>
      <c r="R209" s="49"/>
      <c r="S209" s="49"/>
      <c r="AB209" s="49"/>
      <c r="AC209" s="49"/>
      <c r="AD209" s="49"/>
      <c r="AE209" s="49"/>
      <c r="AF209" s="49"/>
      <c r="AG209" s="49"/>
      <c r="AH209" s="49"/>
      <c r="AI209" s="49"/>
    </row>
    <row r="210" spans="14:35" ht="11.25" customHeight="1">
      <c r="N210" s="49"/>
      <c r="O210" s="49"/>
      <c r="P210" s="49"/>
      <c r="Q210" s="49"/>
      <c r="R210" s="49"/>
      <c r="S210" s="49"/>
      <c r="AB210" s="49"/>
      <c r="AC210" s="49"/>
      <c r="AD210" s="49"/>
      <c r="AE210" s="49"/>
      <c r="AF210" s="49"/>
      <c r="AG210" s="49"/>
      <c r="AH210" s="49"/>
      <c r="AI210" s="49"/>
    </row>
    <row r="211" spans="14:35" ht="11.25" customHeight="1">
      <c r="N211" s="49"/>
      <c r="O211" s="49"/>
      <c r="P211" s="49"/>
      <c r="Q211" s="49"/>
      <c r="R211" s="49"/>
      <c r="S211" s="49"/>
      <c r="AB211" s="49"/>
      <c r="AC211" s="49"/>
      <c r="AD211" s="49"/>
      <c r="AE211" s="49"/>
      <c r="AF211" s="49"/>
      <c r="AG211" s="49"/>
      <c r="AH211" s="49"/>
      <c r="AI211" s="49"/>
    </row>
    <row r="212" spans="14:35" ht="11.25" customHeight="1">
      <c r="N212" s="49"/>
      <c r="O212" s="49"/>
      <c r="P212" s="49"/>
      <c r="Q212" s="49"/>
      <c r="R212" s="49"/>
      <c r="S212" s="49"/>
      <c r="AB212" s="49"/>
      <c r="AC212" s="49"/>
      <c r="AD212" s="49"/>
      <c r="AE212" s="49"/>
      <c r="AF212" s="49"/>
      <c r="AG212" s="49"/>
      <c r="AH212" s="49"/>
      <c r="AI212" s="49"/>
    </row>
    <row r="213" spans="14:35" ht="11.25" customHeight="1">
      <c r="N213" s="49"/>
      <c r="O213" s="49"/>
      <c r="P213" s="49"/>
      <c r="Q213" s="49"/>
      <c r="R213" s="49"/>
      <c r="S213" s="49"/>
      <c r="AB213" s="49"/>
      <c r="AC213" s="49"/>
      <c r="AD213" s="49"/>
      <c r="AE213" s="49"/>
      <c r="AF213" s="49"/>
      <c r="AG213" s="49"/>
      <c r="AH213" s="49"/>
      <c r="AI213" s="49"/>
    </row>
    <row r="214" spans="14:35" ht="11.25" customHeight="1">
      <c r="N214" s="49"/>
      <c r="O214" s="49"/>
      <c r="P214" s="49"/>
      <c r="Q214" s="49"/>
      <c r="R214" s="49"/>
      <c r="S214" s="49"/>
      <c r="AB214" s="49"/>
      <c r="AC214" s="49"/>
      <c r="AD214" s="49"/>
      <c r="AE214" s="49"/>
      <c r="AF214" s="49"/>
      <c r="AG214" s="49"/>
      <c r="AH214" s="49"/>
      <c r="AI214" s="49"/>
    </row>
    <row r="215" spans="14:35" ht="11.25" customHeight="1">
      <c r="N215" s="49"/>
      <c r="O215" s="49"/>
      <c r="P215" s="49"/>
      <c r="Q215" s="49"/>
      <c r="R215" s="49"/>
      <c r="S215" s="49"/>
      <c r="AB215" s="49"/>
      <c r="AC215" s="49"/>
      <c r="AD215" s="49"/>
      <c r="AE215" s="49"/>
      <c r="AF215" s="49"/>
      <c r="AG215" s="49"/>
      <c r="AH215" s="49"/>
      <c r="AI215" s="49"/>
    </row>
    <row r="216" spans="14:35" ht="11.25" customHeight="1">
      <c r="N216" s="49"/>
      <c r="O216" s="49"/>
      <c r="P216" s="49"/>
      <c r="Q216" s="49"/>
      <c r="R216" s="49"/>
      <c r="S216" s="49"/>
      <c r="AB216" s="49"/>
      <c r="AC216" s="49"/>
      <c r="AD216" s="49"/>
      <c r="AE216" s="49"/>
      <c r="AF216" s="49"/>
      <c r="AG216" s="49"/>
      <c r="AH216" s="49"/>
      <c r="AI216" s="49"/>
    </row>
    <row r="217" spans="14:35" ht="11.25" customHeight="1">
      <c r="N217" s="49"/>
      <c r="O217" s="49"/>
      <c r="P217" s="49"/>
      <c r="Q217" s="49"/>
      <c r="R217" s="49"/>
      <c r="S217" s="49"/>
      <c r="AB217" s="49"/>
      <c r="AC217" s="49"/>
      <c r="AD217" s="49"/>
      <c r="AE217" s="49"/>
      <c r="AF217" s="49"/>
      <c r="AG217" s="49"/>
      <c r="AH217" s="49"/>
      <c r="AI217" s="49"/>
    </row>
    <row r="218" spans="14:35" ht="11.25" customHeight="1">
      <c r="N218" s="49"/>
      <c r="O218" s="49"/>
      <c r="P218" s="49"/>
      <c r="Q218" s="49"/>
      <c r="R218" s="49"/>
      <c r="S218" s="49"/>
      <c r="AB218" s="49"/>
      <c r="AC218" s="49"/>
      <c r="AD218" s="49"/>
      <c r="AE218" s="49"/>
      <c r="AF218" s="49"/>
      <c r="AG218" s="49"/>
      <c r="AH218" s="49"/>
      <c r="AI218" s="49"/>
    </row>
    <row r="219" spans="14:35" ht="11.25" customHeight="1">
      <c r="N219" s="49"/>
      <c r="O219" s="49"/>
      <c r="P219" s="49"/>
      <c r="Q219" s="49"/>
      <c r="R219" s="49"/>
      <c r="S219" s="49"/>
      <c r="AB219" s="49"/>
      <c r="AC219" s="49"/>
      <c r="AD219" s="49"/>
      <c r="AE219" s="49"/>
      <c r="AF219" s="49"/>
      <c r="AG219" s="49"/>
      <c r="AH219" s="49"/>
      <c r="AI219" s="49"/>
    </row>
    <row r="220" spans="14:35" ht="11.25" customHeight="1">
      <c r="N220" s="49"/>
      <c r="O220" s="49"/>
      <c r="P220" s="49"/>
      <c r="Q220" s="49"/>
      <c r="R220" s="49"/>
      <c r="S220" s="49"/>
      <c r="AB220" s="49"/>
      <c r="AC220" s="49"/>
      <c r="AD220" s="49"/>
      <c r="AE220" s="49"/>
      <c r="AF220" s="49"/>
      <c r="AG220" s="49"/>
      <c r="AH220" s="49"/>
      <c r="AI220" s="49"/>
    </row>
    <row r="221" spans="14:35" ht="11.25" customHeight="1">
      <c r="N221" s="49"/>
      <c r="O221" s="49"/>
      <c r="P221" s="49"/>
      <c r="Q221" s="49"/>
      <c r="R221" s="49"/>
      <c r="S221" s="49"/>
      <c r="AB221" s="49"/>
      <c r="AC221" s="49"/>
      <c r="AD221" s="49"/>
      <c r="AE221" s="49"/>
      <c r="AF221" s="49"/>
      <c r="AG221" s="49"/>
      <c r="AH221" s="49"/>
      <c r="AI221" s="49"/>
    </row>
    <row r="222" spans="14:35" ht="11.25" customHeight="1">
      <c r="N222" s="49"/>
      <c r="O222" s="49"/>
      <c r="P222" s="49"/>
      <c r="Q222" s="49"/>
      <c r="R222" s="49"/>
      <c r="S222" s="49"/>
      <c r="AB222" s="49"/>
      <c r="AC222" s="49"/>
      <c r="AD222" s="49"/>
      <c r="AE222" s="49"/>
      <c r="AF222" s="49"/>
      <c r="AG222" s="49"/>
      <c r="AH222" s="49"/>
      <c r="AI222" s="49"/>
    </row>
    <row r="223" spans="14:35" ht="11.25" customHeight="1">
      <c r="N223" s="49"/>
      <c r="O223" s="49"/>
      <c r="P223" s="49"/>
      <c r="Q223" s="49"/>
      <c r="R223" s="49"/>
      <c r="S223" s="49"/>
      <c r="AB223" s="49"/>
      <c r="AC223" s="49"/>
      <c r="AD223" s="49"/>
      <c r="AE223" s="49"/>
      <c r="AF223" s="49"/>
      <c r="AG223" s="49"/>
      <c r="AH223" s="49"/>
      <c r="AI223" s="49"/>
    </row>
    <row r="224" spans="14:35" ht="11.25" customHeight="1">
      <c r="N224" s="49"/>
      <c r="O224" s="49"/>
      <c r="P224" s="49"/>
      <c r="Q224" s="49"/>
      <c r="R224" s="49"/>
      <c r="S224" s="49"/>
      <c r="AB224" s="49"/>
      <c r="AC224" s="49"/>
      <c r="AD224" s="49"/>
      <c r="AE224" s="49"/>
      <c r="AF224" s="49"/>
      <c r="AG224" s="49"/>
      <c r="AH224" s="49"/>
      <c r="AI224" s="49"/>
    </row>
    <row r="225" spans="14:35" ht="11.25" customHeight="1">
      <c r="N225" s="49"/>
      <c r="O225" s="49"/>
      <c r="P225" s="49"/>
      <c r="Q225" s="49"/>
      <c r="R225" s="49"/>
      <c r="S225" s="49"/>
      <c r="AB225" s="49"/>
      <c r="AC225" s="49"/>
      <c r="AD225" s="49"/>
      <c r="AE225" s="49"/>
      <c r="AF225" s="49"/>
      <c r="AG225" s="49"/>
      <c r="AH225" s="49"/>
      <c r="AI225" s="49"/>
    </row>
    <row r="226" spans="14:35" ht="11.25" customHeight="1">
      <c r="N226" s="49"/>
      <c r="O226" s="49"/>
      <c r="P226" s="49"/>
      <c r="Q226" s="49"/>
      <c r="R226" s="49"/>
      <c r="S226" s="49"/>
      <c r="AB226" s="49"/>
      <c r="AC226" s="49"/>
      <c r="AD226" s="49"/>
      <c r="AE226" s="49"/>
      <c r="AF226" s="49"/>
      <c r="AG226" s="49"/>
      <c r="AH226" s="49"/>
      <c r="AI226" s="49"/>
    </row>
    <row r="227" spans="14:35" ht="11.25" customHeight="1">
      <c r="N227" s="49"/>
      <c r="O227" s="49"/>
      <c r="P227" s="49"/>
      <c r="Q227" s="49"/>
      <c r="R227" s="49"/>
      <c r="S227" s="49"/>
      <c r="AB227" s="49"/>
      <c r="AC227" s="49"/>
      <c r="AD227" s="49"/>
      <c r="AE227" s="49"/>
      <c r="AF227" s="49"/>
      <c r="AG227" s="49"/>
      <c r="AH227" s="49"/>
      <c r="AI227" s="49"/>
    </row>
    <row r="228" spans="14:35" ht="11.25" customHeight="1">
      <c r="N228" s="49"/>
      <c r="O228" s="49"/>
      <c r="P228" s="49"/>
      <c r="Q228" s="49"/>
      <c r="R228" s="49"/>
      <c r="S228" s="49"/>
      <c r="AB228" s="49"/>
      <c r="AC228" s="49"/>
      <c r="AD228" s="49"/>
      <c r="AE228" s="49"/>
      <c r="AF228" s="49"/>
      <c r="AG228" s="49"/>
      <c r="AH228" s="49"/>
      <c r="AI228" s="49"/>
    </row>
    <row r="229" spans="14:35" ht="11.25" customHeight="1">
      <c r="N229" s="49"/>
      <c r="O229" s="49"/>
      <c r="P229" s="49"/>
      <c r="Q229" s="49"/>
      <c r="R229" s="49"/>
      <c r="S229" s="49"/>
      <c r="AB229" s="49"/>
      <c r="AC229" s="49"/>
      <c r="AD229" s="49"/>
      <c r="AE229" s="49"/>
      <c r="AF229" s="49"/>
      <c r="AG229" s="49"/>
      <c r="AH229" s="49"/>
      <c r="AI229" s="49"/>
    </row>
    <row r="230" spans="14:35" ht="11.25" customHeight="1">
      <c r="N230" s="49"/>
      <c r="O230" s="49"/>
      <c r="P230" s="49"/>
      <c r="Q230" s="49"/>
      <c r="R230" s="49"/>
      <c r="S230" s="49"/>
      <c r="AB230" s="49"/>
      <c r="AC230" s="49"/>
      <c r="AD230" s="49"/>
      <c r="AE230" s="49"/>
      <c r="AF230" s="49"/>
      <c r="AG230" s="49"/>
      <c r="AH230" s="49"/>
      <c r="AI230" s="49"/>
    </row>
    <row r="231" spans="14:35" ht="11.25" customHeight="1">
      <c r="N231" s="49"/>
      <c r="O231" s="49"/>
      <c r="P231" s="49"/>
      <c r="Q231" s="49"/>
      <c r="R231" s="49"/>
      <c r="S231" s="49"/>
      <c r="AB231" s="49"/>
      <c r="AC231" s="49"/>
      <c r="AD231" s="49"/>
      <c r="AE231" s="49"/>
      <c r="AF231" s="49"/>
      <c r="AG231" s="49"/>
      <c r="AH231" s="49"/>
      <c r="AI231" s="49"/>
    </row>
    <row r="232" spans="14:35" ht="11.25" customHeight="1">
      <c r="N232" s="49"/>
      <c r="O232" s="49"/>
      <c r="P232" s="49"/>
      <c r="Q232" s="49"/>
      <c r="R232" s="49"/>
      <c r="S232" s="49"/>
      <c r="AB232" s="49"/>
      <c r="AC232" s="49"/>
      <c r="AD232" s="49"/>
      <c r="AE232" s="49"/>
      <c r="AF232" s="49"/>
      <c r="AG232" s="49"/>
      <c r="AH232" s="49"/>
      <c r="AI232" s="49"/>
    </row>
    <row r="233" spans="14:35" ht="11.25" customHeight="1">
      <c r="N233" s="49"/>
      <c r="O233" s="49"/>
      <c r="P233" s="49"/>
      <c r="Q233" s="49"/>
      <c r="R233" s="49"/>
      <c r="S233" s="49"/>
      <c r="AB233" s="49"/>
      <c r="AC233" s="49"/>
      <c r="AD233" s="49"/>
      <c r="AE233" s="49"/>
      <c r="AF233" s="49"/>
      <c r="AG233" s="49"/>
      <c r="AH233" s="49"/>
      <c r="AI233" s="49"/>
    </row>
    <row r="234" spans="14:35" ht="11.25" customHeight="1">
      <c r="N234" s="49"/>
      <c r="O234" s="49"/>
      <c r="P234" s="49"/>
      <c r="Q234" s="49"/>
      <c r="R234" s="49"/>
      <c r="S234" s="49"/>
      <c r="AB234" s="49"/>
      <c r="AC234" s="49"/>
      <c r="AD234" s="49"/>
      <c r="AE234" s="49"/>
      <c r="AF234" s="49"/>
      <c r="AG234" s="49"/>
      <c r="AH234" s="49"/>
      <c r="AI234" s="49"/>
    </row>
    <row r="235" spans="14:35" ht="11.25" customHeight="1">
      <c r="N235" s="49"/>
      <c r="O235" s="49"/>
      <c r="P235" s="49"/>
      <c r="Q235" s="49"/>
      <c r="R235" s="49"/>
      <c r="S235" s="49"/>
      <c r="AB235" s="49"/>
      <c r="AC235" s="49"/>
      <c r="AD235" s="49"/>
      <c r="AE235" s="49"/>
      <c r="AF235" s="49"/>
      <c r="AG235" s="49"/>
      <c r="AH235" s="49"/>
      <c r="AI235" s="49"/>
    </row>
    <row r="236" spans="14:35" ht="11.25" customHeight="1">
      <c r="N236" s="49"/>
      <c r="O236" s="49"/>
      <c r="P236" s="49"/>
      <c r="Q236" s="49"/>
      <c r="R236" s="49"/>
      <c r="S236" s="49"/>
      <c r="AB236" s="49"/>
      <c r="AC236" s="49"/>
      <c r="AD236" s="49"/>
      <c r="AE236" s="49"/>
      <c r="AF236" s="49"/>
      <c r="AG236" s="49"/>
      <c r="AH236" s="49"/>
      <c r="AI236" s="49"/>
    </row>
    <row r="237" spans="14:35" ht="11.25" customHeight="1">
      <c r="N237" s="49"/>
      <c r="O237" s="49"/>
      <c r="P237" s="49"/>
      <c r="Q237" s="49"/>
      <c r="R237" s="49"/>
      <c r="S237" s="49"/>
      <c r="AB237" s="49"/>
      <c r="AC237" s="49"/>
      <c r="AD237" s="49"/>
      <c r="AE237" s="49"/>
      <c r="AF237" s="49"/>
      <c r="AG237" s="49"/>
      <c r="AH237" s="49"/>
      <c r="AI237" s="49"/>
    </row>
    <row r="238" spans="14:35" ht="11.25" customHeight="1">
      <c r="N238" s="49"/>
      <c r="O238" s="49"/>
      <c r="P238" s="49"/>
      <c r="Q238" s="49"/>
      <c r="R238" s="49"/>
      <c r="S238" s="49"/>
      <c r="AB238" s="49"/>
      <c r="AC238" s="49"/>
      <c r="AD238" s="49"/>
      <c r="AE238" s="49"/>
      <c r="AF238" s="49"/>
      <c r="AG238" s="49"/>
      <c r="AH238" s="49"/>
      <c r="AI238" s="49"/>
    </row>
    <row r="239" spans="14:35" ht="11.25" customHeight="1">
      <c r="N239" s="49"/>
      <c r="O239" s="49"/>
      <c r="P239" s="49"/>
      <c r="Q239" s="49"/>
      <c r="R239" s="49"/>
      <c r="S239" s="49"/>
      <c r="AB239" s="49"/>
      <c r="AC239" s="49"/>
      <c r="AD239" s="49"/>
      <c r="AE239" s="49"/>
      <c r="AF239" s="49"/>
      <c r="AG239" s="49"/>
      <c r="AH239" s="49"/>
      <c r="AI239" s="49"/>
    </row>
    <row r="240" spans="14:35" ht="11.25" customHeight="1">
      <c r="N240" s="49"/>
      <c r="O240" s="49"/>
      <c r="P240" s="49"/>
      <c r="Q240" s="49"/>
      <c r="R240" s="49"/>
      <c r="S240" s="49"/>
      <c r="AB240" s="49"/>
      <c r="AC240" s="49"/>
      <c r="AD240" s="49"/>
      <c r="AE240" s="49"/>
      <c r="AF240" s="49"/>
      <c r="AG240" s="49"/>
      <c r="AH240" s="49"/>
      <c r="AI240" s="49"/>
    </row>
    <row r="241" spans="14:35" ht="11.25" customHeight="1">
      <c r="N241" s="49"/>
      <c r="O241" s="49"/>
      <c r="P241" s="49"/>
      <c r="Q241" s="49"/>
      <c r="R241" s="49"/>
      <c r="S241" s="49"/>
      <c r="AB241" s="49"/>
      <c r="AC241" s="49"/>
      <c r="AD241" s="49"/>
      <c r="AE241" s="49"/>
      <c r="AF241" s="49"/>
      <c r="AG241" s="49"/>
      <c r="AH241" s="49"/>
      <c r="AI241" s="49"/>
    </row>
    <row r="242" spans="14:35" ht="11.25" customHeight="1">
      <c r="N242" s="49"/>
      <c r="O242" s="49"/>
      <c r="P242" s="49"/>
      <c r="Q242" s="49"/>
      <c r="R242" s="49"/>
      <c r="S242" s="49"/>
      <c r="AB242" s="49"/>
      <c r="AC242" s="49"/>
      <c r="AD242" s="49"/>
      <c r="AE242" s="49"/>
      <c r="AF242" s="49"/>
      <c r="AG242" s="49"/>
      <c r="AH242" s="49"/>
      <c r="AI242" s="49"/>
    </row>
    <row r="243" spans="14:35" ht="11.25" customHeight="1">
      <c r="N243" s="49"/>
      <c r="O243" s="49"/>
      <c r="P243" s="49"/>
      <c r="Q243" s="49"/>
      <c r="R243" s="49"/>
      <c r="S243" s="49"/>
      <c r="AB243" s="49"/>
      <c r="AC243" s="49"/>
      <c r="AD243" s="49"/>
      <c r="AE243" s="49"/>
      <c r="AF243" s="49"/>
      <c r="AG243" s="49"/>
      <c r="AH243" s="49"/>
      <c r="AI243" s="49"/>
    </row>
    <row r="244" spans="14:35" ht="11.25" customHeight="1">
      <c r="N244" s="49"/>
      <c r="O244" s="49"/>
      <c r="P244" s="49"/>
      <c r="Q244" s="49"/>
      <c r="R244" s="49"/>
      <c r="S244" s="49"/>
      <c r="AB244" s="49"/>
      <c r="AC244" s="49"/>
      <c r="AD244" s="49"/>
      <c r="AE244" s="49"/>
      <c r="AF244" s="49"/>
      <c r="AG244" s="49"/>
      <c r="AH244" s="49"/>
      <c r="AI244" s="49"/>
    </row>
    <row r="245" spans="14:35" ht="11.25" customHeight="1">
      <c r="N245" s="49"/>
      <c r="O245" s="49"/>
      <c r="Q245" s="49"/>
      <c r="R245" s="49"/>
      <c r="S245" s="49"/>
      <c r="AB245" s="49"/>
      <c r="AC245" s="49"/>
      <c r="AD245" s="49"/>
      <c r="AE245" s="49"/>
      <c r="AF245" s="49"/>
      <c r="AG245" s="49"/>
      <c r="AH245" s="49"/>
      <c r="AI245" s="49"/>
    </row>
    <row r="246" spans="14:35" ht="11.25" customHeight="1">
      <c r="N246" s="49"/>
      <c r="O246" s="49"/>
      <c r="Q246" s="49"/>
      <c r="R246" s="49"/>
      <c r="S246" s="49"/>
      <c r="AB246" s="49"/>
      <c r="AC246" s="49"/>
      <c r="AD246" s="49"/>
      <c r="AE246" s="49"/>
      <c r="AF246" s="49"/>
      <c r="AG246" s="49"/>
      <c r="AH246" s="49"/>
      <c r="AI246" s="49"/>
    </row>
    <row r="247" spans="14:35" ht="11.25" customHeight="1">
      <c r="Q247" s="49"/>
      <c r="R247" s="49"/>
      <c r="S247" s="49"/>
      <c r="AB247" s="49"/>
      <c r="AC247" s="49"/>
      <c r="AD247" s="49"/>
      <c r="AE247" s="49"/>
      <c r="AF247" s="49"/>
      <c r="AG247" s="49"/>
      <c r="AH247" s="49"/>
      <c r="AI247" s="49"/>
    </row>
    <row r="248" spans="14:35" ht="11.25" customHeight="1">
      <c r="S248" s="49"/>
      <c r="AB248" s="49"/>
      <c r="AC248" s="49"/>
      <c r="AD248" s="49"/>
      <c r="AE248" s="49"/>
      <c r="AF248" s="49"/>
      <c r="AG248" s="49"/>
      <c r="AH248" s="49"/>
      <c r="AI248" s="49"/>
    </row>
    <row r="249" spans="14:35" ht="11.25" customHeight="1">
      <c r="S249" s="49"/>
      <c r="AB249" s="49"/>
      <c r="AC249" s="49"/>
      <c r="AD249" s="49"/>
      <c r="AE249" s="49"/>
      <c r="AF249" s="49"/>
      <c r="AG249" s="49"/>
      <c r="AH249" s="49"/>
      <c r="AI249" s="49"/>
    </row>
    <row r="250" spans="14:35" ht="11.25" customHeight="1">
      <c r="S250" s="49"/>
      <c r="AB250" s="49"/>
      <c r="AC250" s="49"/>
      <c r="AD250" s="49"/>
      <c r="AE250" s="49"/>
      <c r="AF250" s="49"/>
      <c r="AG250" s="49"/>
      <c r="AH250" s="49"/>
      <c r="AI250" s="49"/>
    </row>
    <row r="251" spans="14:35" ht="11.25" customHeight="1">
      <c r="S251" s="49"/>
      <c r="AB251" s="49"/>
      <c r="AC251" s="49"/>
      <c r="AE251" s="49"/>
      <c r="AF251" s="49"/>
      <c r="AG251" s="49"/>
      <c r="AH251" s="49"/>
      <c r="AI251" s="49"/>
    </row>
    <row r="252" spans="14:35" ht="11.25" customHeight="1">
      <c r="S252" s="49"/>
      <c r="AB252" s="49"/>
      <c r="AC252" s="49"/>
      <c r="AE252" s="49"/>
      <c r="AF252" s="49"/>
      <c r="AG252" s="49"/>
      <c r="AH252" s="49"/>
      <c r="AI252" s="49"/>
    </row>
    <row r="253" spans="14:35" ht="11.25" customHeight="1">
      <c r="S253" s="49"/>
      <c r="AB253" s="49"/>
      <c r="AC253" s="49"/>
      <c r="AE253" s="49"/>
      <c r="AF253" s="49"/>
      <c r="AG253" s="49"/>
      <c r="AH253" s="49"/>
      <c r="AI253" s="49"/>
    </row>
    <row r="254" spans="14:35" ht="11.25" customHeight="1">
      <c r="S254" s="49"/>
      <c r="AB254" s="49"/>
      <c r="AC254" s="49"/>
      <c r="AE254" s="49"/>
      <c r="AF254" s="49"/>
      <c r="AG254" s="49"/>
      <c r="AH254" s="49"/>
      <c r="AI254" s="49"/>
    </row>
    <row r="255" spans="14:35" ht="11.25" customHeight="1">
      <c r="S255" s="49"/>
      <c r="AB255" s="49"/>
      <c r="AC255" s="49"/>
      <c r="AE255" s="49"/>
      <c r="AF255" s="49"/>
      <c r="AG255" s="49"/>
      <c r="AH255" s="49"/>
      <c r="AI255" s="49"/>
    </row>
    <row r="256" spans="14:35" ht="11.25" customHeight="1">
      <c r="S256" s="49"/>
      <c r="AB256" s="49"/>
      <c r="AC256" s="49"/>
      <c r="AE256" s="49"/>
      <c r="AF256" s="49"/>
      <c r="AG256" s="49"/>
      <c r="AH256" s="49"/>
      <c r="AI256" s="49"/>
    </row>
    <row r="257" spans="19:35" ht="11.25" customHeight="1">
      <c r="S257" s="49"/>
      <c r="AB257" s="49"/>
      <c r="AC257" s="49"/>
      <c r="AE257" s="49"/>
      <c r="AF257" s="49"/>
      <c r="AG257" s="49"/>
      <c r="AH257" s="49"/>
      <c r="AI257" s="49"/>
    </row>
    <row r="258" spans="19:35" ht="11.25" customHeight="1">
      <c r="S258" s="49"/>
      <c r="AB258" s="49"/>
      <c r="AC258" s="49"/>
      <c r="AE258" s="49"/>
      <c r="AF258" s="49"/>
      <c r="AG258" s="49"/>
      <c r="AH258" s="49"/>
      <c r="AI258" s="49"/>
    </row>
    <row r="259" spans="19:35" ht="11.25" customHeight="1">
      <c r="S259" s="49"/>
      <c r="AB259" s="49"/>
      <c r="AC259" s="49"/>
      <c r="AE259" s="49"/>
      <c r="AF259" s="49"/>
      <c r="AG259" s="49"/>
      <c r="AH259" s="49"/>
      <c r="AI259" s="49"/>
    </row>
  </sheetData>
  <sheetProtection sheet="1" objects="1" scenarios="1" selectLockedCells="1"/>
  <mergeCells count="79">
    <mergeCell ref="N47:P47"/>
    <mergeCell ref="Y3:AB3"/>
    <mergeCell ref="N31:P31"/>
    <mergeCell ref="N30:P30"/>
    <mergeCell ref="N27:P27"/>
    <mergeCell ref="N28:P28"/>
    <mergeCell ref="N24:P24"/>
    <mergeCell ref="N25:P25"/>
    <mergeCell ref="N26:P26"/>
    <mergeCell ref="N23:P23"/>
    <mergeCell ref="N10:P10"/>
    <mergeCell ref="Q20:R20"/>
    <mergeCell ref="N20:P20"/>
    <mergeCell ref="Q9:R9"/>
    <mergeCell ref="Q19:R19"/>
    <mergeCell ref="Q18:R18"/>
    <mergeCell ref="N13:P13"/>
    <mergeCell ref="N46:P46"/>
    <mergeCell ref="N43:P43"/>
    <mergeCell ref="N42:P42"/>
    <mergeCell ref="E15:E16"/>
    <mergeCell ref="N21:P21"/>
    <mergeCell ref="N17:P17"/>
    <mergeCell ref="K15:K16"/>
    <mergeCell ref="L15:L16"/>
    <mergeCell ref="N19:P19"/>
    <mergeCell ref="N16:P16"/>
    <mergeCell ref="N18:P18"/>
    <mergeCell ref="I15:I16"/>
    <mergeCell ref="J15:J16"/>
    <mergeCell ref="N44:P44"/>
    <mergeCell ref="N45:P45"/>
    <mergeCell ref="N15:P15"/>
    <mergeCell ref="N2:R2"/>
    <mergeCell ref="N6:P6"/>
    <mergeCell ref="Q6:R6"/>
    <mergeCell ref="N5:P5"/>
    <mergeCell ref="Q5:R5"/>
    <mergeCell ref="N12:P12"/>
    <mergeCell ref="N7:P7"/>
    <mergeCell ref="H11:J11"/>
    <mergeCell ref="B7:D7"/>
    <mergeCell ref="N9:P9"/>
    <mergeCell ref="N11:P11"/>
    <mergeCell ref="C15:C16"/>
    <mergeCell ref="B15:B16"/>
    <mergeCell ref="H7:J7"/>
    <mergeCell ref="H8:J8"/>
    <mergeCell ref="H13:J13"/>
    <mergeCell ref="D15:D16"/>
    <mergeCell ref="B13:D13"/>
    <mergeCell ref="B10:D10"/>
    <mergeCell ref="B8:D8"/>
    <mergeCell ref="F15:F16"/>
    <mergeCell ref="H15:H16"/>
    <mergeCell ref="N29:P29"/>
    <mergeCell ref="N41:P41"/>
    <mergeCell ref="A1:E1"/>
    <mergeCell ref="H12:J12"/>
    <mergeCell ref="H9:J9"/>
    <mergeCell ref="H10:J10"/>
    <mergeCell ref="B5:D5"/>
    <mergeCell ref="B12:D12"/>
    <mergeCell ref="B11:D11"/>
    <mergeCell ref="B6:D6"/>
    <mergeCell ref="B9:D9"/>
    <mergeCell ref="B2:L2"/>
    <mergeCell ref="E4:F4"/>
    <mergeCell ref="K4:L4"/>
    <mergeCell ref="H5:J5"/>
    <mergeCell ref="H6:J6"/>
    <mergeCell ref="N37:P37"/>
    <mergeCell ref="Q37:R37"/>
    <mergeCell ref="N39:P39"/>
    <mergeCell ref="N33:P33"/>
    <mergeCell ref="N34:P34"/>
    <mergeCell ref="N35:P35"/>
    <mergeCell ref="N36:P36"/>
    <mergeCell ref="Q36:R36"/>
  </mergeCells>
  <conditionalFormatting sqref="N7 R42:R43">
    <cfRule type="containsErrors" dxfId="62" priority="87" stopIfTrue="1">
      <formula>ISERROR(N7)</formula>
    </cfRule>
  </conditionalFormatting>
  <conditionalFormatting sqref="Q20">
    <cfRule type="containsErrors" dxfId="61" priority="42" stopIfTrue="1">
      <formula>ISERROR(Q20)</formula>
    </cfRule>
  </conditionalFormatting>
  <conditionalFormatting sqref="N41">
    <cfRule type="containsErrors" dxfId="60" priority="21" stopIfTrue="1">
      <formula>ISERROR(N41)</formula>
    </cfRule>
  </conditionalFormatting>
  <conditionalFormatting sqref="R42">
    <cfRule type="containsErrors" dxfId="59" priority="20" stopIfTrue="1">
      <formula>ISERROR(R42)</formula>
    </cfRule>
  </conditionalFormatting>
  <conditionalFormatting sqref="N42:P42">
    <cfRule type="containsErrors" dxfId="58" priority="19" stopIfTrue="1">
      <formula>ISERROR(N42)</formula>
    </cfRule>
  </conditionalFormatting>
  <conditionalFormatting sqref="N43:P43">
    <cfRule type="containsErrors" dxfId="57" priority="17" stopIfTrue="1">
      <formula>ISERROR(N43)</formula>
    </cfRule>
  </conditionalFormatting>
  <conditionalFormatting sqref="N44:P44">
    <cfRule type="containsErrors" dxfId="56" priority="15" stopIfTrue="1">
      <formula>ISERROR(N44)</formula>
    </cfRule>
  </conditionalFormatting>
  <conditionalFormatting sqref="R44">
    <cfRule type="containsErrors" dxfId="55" priority="14" stopIfTrue="1">
      <formula>ISERROR(R44)</formula>
    </cfRule>
  </conditionalFormatting>
  <conditionalFormatting sqref="Q35:R38 N39:P39 N33:P33 N35:P37">
    <cfRule type="containsErrors" dxfId="54" priority="9" stopIfTrue="1">
      <formula>ISERROR(N33)</formula>
    </cfRule>
  </conditionalFormatting>
  <conditionalFormatting sqref="N34:R34">
    <cfRule type="containsErrors" dxfId="53" priority="8" stopIfTrue="1">
      <formula>ISERROR(N34)</formula>
    </cfRule>
  </conditionalFormatting>
  <dataValidations count="1">
    <dataValidation type="list" allowBlank="1" showInputMessage="1" showErrorMessage="1" sqref="Q20">
      <formula1>"Low,High"</formula1>
    </dataValidation>
  </dataValidations>
  <pageMargins left="0.7" right="0.7" top="0.75" bottom="0.75" header="0.3" footer="0.3"/>
  <pageSetup scale="76" orientation="portrait" horizontalDpi="4294967293" verticalDpi="4294967293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pageSetUpPr fitToPage="1"/>
  </sheetPr>
  <dimension ref="A1:AJ83"/>
  <sheetViews>
    <sheetView showGridLines="0" zoomScaleNormal="100" workbookViewId="0">
      <selection activeCell="AH15" sqref="AH15:AI15"/>
    </sheetView>
  </sheetViews>
  <sheetFormatPr defaultColWidth="6.5703125" defaultRowHeight="11.25" customHeight="1"/>
  <cols>
    <col min="1" max="2" width="6.5703125" style="58"/>
    <col min="3" max="3" width="6.5703125" style="58" customWidth="1"/>
    <col min="4" max="7" width="6.5703125" style="58"/>
    <col min="8" max="8" width="6.5703125" style="58" customWidth="1"/>
    <col min="9" max="9" width="6.5703125" style="58"/>
    <col min="10" max="10" width="6.5703125" style="58" customWidth="1"/>
    <col min="11" max="12" width="6.5703125" style="58"/>
    <col min="13" max="13" width="6.5703125" style="58" customWidth="1"/>
    <col min="14" max="14" width="6.5703125" style="58"/>
    <col min="15" max="16" width="6.5703125" style="58" customWidth="1"/>
    <col min="17" max="17" width="6.5703125" style="59"/>
    <col min="18" max="21" width="6.5703125" style="58"/>
    <col min="22" max="22" width="6.5703125" style="58" customWidth="1"/>
    <col min="23" max="30" width="6.5703125" style="58"/>
    <col min="31" max="31" width="6.5703125" style="58" customWidth="1"/>
    <col min="32" max="32" width="6.5703125" style="58"/>
    <col min="33" max="34" width="6.5703125" style="58" customWidth="1"/>
    <col min="35" max="16384" width="6.5703125" style="58"/>
  </cols>
  <sheetData>
    <row r="1" spans="1:36" ht="11.25" customHeight="1">
      <c r="A1" s="535" t="s">
        <v>1138</v>
      </c>
      <c r="B1" s="536"/>
      <c r="C1" s="536"/>
      <c r="D1" s="536"/>
      <c r="E1" s="536"/>
      <c r="AE1" s="548" t="e">
        <f>'Class Builder'!D3&amp;" "&amp;'Class Builder'!D4&amp;" "&amp;'Class Builder'!D5</f>
        <v>#N/A</v>
      </c>
      <c r="AF1" s="548"/>
      <c r="AG1" s="548"/>
      <c r="AH1" s="548"/>
      <c r="AI1" s="548"/>
    </row>
    <row r="2" spans="1:36" ht="11.25" customHeight="1">
      <c r="B2" s="555" t="str">
        <f>"Dynamometer"</f>
        <v>Dynamometer</v>
      </c>
      <c r="C2" s="556"/>
      <c r="D2" s="557"/>
      <c r="E2" s="539" t="str">
        <f>"Transmission Torque"&amp;" "&amp;IF('FMTC Main'!E5="Metric","(N-m)","(lb-ft)")</f>
        <v>Transmission Torque (lb-ft)</v>
      </c>
      <c r="F2" s="540"/>
      <c r="G2" s="540"/>
      <c r="H2" s="540"/>
      <c r="I2" s="540"/>
      <c r="J2" s="541"/>
      <c r="K2" s="542" t="str">
        <f>"Transmission Speed"&amp;" "&amp;IF('FMTC Main'!E5="Metric","(km/h)","(mph)")</f>
        <v>Transmission Speed (mph)</v>
      </c>
      <c r="L2" s="543"/>
      <c r="M2" s="543"/>
      <c r="N2" s="543"/>
      <c r="O2" s="543"/>
      <c r="P2" s="574"/>
      <c r="Q2" s="575" t="s">
        <v>62</v>
      </c>
      <c r="R2" s="545" t="str">
        <f>"RPM in Gear"</f>
        <v>RPM in Gear</v>
      </c>
      <c r="S2" s="546"/>
      <c r="T2" s="546"/>
      <c r="U2" s="546"/>
      <c r="V2" s="546"/>
      <c r="W2" s="547"/>
      <c r="X2" s="542" t="str">
        <f>"Speed in Gear"&amp;" "&amp;IF('FMTC Main'!E5="Metric","(km/h)","(mph)")</f>
        <v>Speed in Gear (mph)</v>
      </c>
      <c r="Y2" s="543"/>
      <c r="Z2" s="543"/>
      <c r="AA2" s="543"/>
      <c r="AB2" s="543"/>
      <c r="AC2" s="544"/>
      <c r="AE2" s="555" t="s">
        <v>554</v>
      </c>
      <c r="AF2" s="556"/>
      <c r="AG2" s="577"/>
      <c r="AH2" s="556"/>
      <c r="AI2" s="557"/>
      <c r="AJ2" s="11"/>
    </row>
    <row r="3" spans="1:36" ht="11.25" customHeight="1">
      <c r="B3" s="60" t="s">
        <v>17</v>
      </c>
      <c r="C3" s="61" t="s">
        <v>14</v>
      </c>
      <c r="D3" s="62" t="s">
        <v>20</v>
      </c>
      <c r="E3" s="182" t="s">
        <v>9</v>
      </c>
      <c r="F3" s="61" t="s">
        <v>10</v>
      </c>
      <c r="G3" s="61" t="s">
        <v>11</v>
      </c>
      <c r="H3" s="61" t="s">
        <v>12</v>
      </c>
      <c r="I3" s="63" t="str">
        <f>IF(AG3&lt;5,"","5th")</f>
        <v>5th</v>
      </c>
      <c r="J3" s="64" t="str">
        <f>IF(AG3&lt;6,"","6th")</f>
        <v>6th</v>
      </c>
      <c r="K3" s="60" t="s">
        <v>9</v>
      </c>
      <c r="L3" s="61" t="s">
        <v>10</v>
      </c>
      <c r="M3" s="61" t="s">
        <v>11</v>
      </c>
      <c r="N3" s="61" t="s">
        <v>12</v>
      </c>
      <c r="O3" s="61" t="str">
        <f>IF(AG3&lt;5,"","5th")</f>
        <v>5th</v>
      </c>
      <c r="P3" s="64" t="str">
        <f>IF(AG3&lt;6,"","6th")</f>
        <v>6th</v>
      </c>
      <c r="Q3" s="576"/>
      <c r="R3" s="40" t="s">
        <v>9</v>
      </c>
      <c r="S3" s="51" t="s">
        <v>10</v>
      </c>
      <c r="T3" s="51" t="s">
        <v>11</v>
      </c>
      <c r="U3" s="51" t="s">
        <v>12</v>
      </c>
      <c r="V3" s="51" t="str">
        <f>IF(AG3&lt;5,"","5th")</f>
        <v>5th</v>
      </c>
      <c r="W3" s="41" t="str">
        <f>IF(AG3&lt;6,"","6th")</f>
        <v>6th</v>
      </c>
      <c r="X3" s="60" t="s">
        <v>9</v>
      </c>
      <c r="Y3" s="61" t="s">
        <v>10</v>
      </c>
      <c r="Z3" s="61" t="s">
        <v>11</v>
      </c>
      <c r="AA3" s="61" t="s">
        <v>12</v>
      </c>
      <c r="AB3" s="61" t="str">
        <f>IF(AG3&lt;5,"","5th")</f>
        <v>5th</v>
      </c>
      <c r="AC3" s="64" t="str">
        <f>IF(AG3&lt;6,"","6th")</f>
        <v>6th</v>
      </c>
      <c r="AE3" s="537" t="s">
        <v>16</v>
      </c>
      <c r="AF3" s="538"/>
      <c r="AG3" s="358">
        <f>'FMTC Main'!E36</f>
        <v>6</v>
      </c>
      <c r="AH3" s="168" t="s">
        <v>64</v>
      </c>
      <c r="AI3" s="65"/>
    </row>
    <row r="4" spans="1:36" ht="11.25" customHeight="1">
      <c r="B4" s="66">
        <f>IF(B12=0,0,800)</f>
        <v>0</v>
      </c>
      <c r="C4" s="53" t="e">
        <f>(('Calculation Data &amp; Factors'!$A$46*(2*PI()/60*B4))+('Calculation Data &amp; Factors'!$B$46*(2*PI()/60*B4)^2)+('Calculation Data &amp; Factors'!$C$46*(2*PI()/60*B4)^3))/IF('FMTC Main'!$E$5="Metric",1,1.35581795)</f>
        <v>#DIV/0!</v>
      </c>
      <c r="D4" s="53" t="e">
        <f>B4*C4/'Calculation Data &amp; Factors'!$A$35</f>
        <v>#DIV/0!</v>
      </c>
      <c r="E4" s="181" t="e">
        <f t="shared" ref="E4:E19" si="0">$C4*$AG$5</f>
        <v>#DIV/0!</v>
      </c>
      <c r="F4" s="54" t="e">
        <f t="shared" ref="F4:F19" si="1">$C4*$AG$6</f>
        <v>#DIV/0!</v>
      </c>
      <c r="G4" s="54" t="e">
        <f t="shared" ref="G4:G19" si="2">$C4*$AG$7</f>
        <v>#DIV/0!</v>
      </c>
      <c r="H4" s="54" t="e">
        <f t="shared" ref="H4:H19" si="3">$C4*$AG$8</f>
        <v>#DIV/0!</v>
      </c>
      <c r="I4" s="54" t="e">
        <f t="shared" ref="I4:I19" si="4">IF($AG$9="","",$C4*$AG$9)</f>
        <v>#DIV/0!</v>
      </c>
      <c r="J4" s="54" t="e">
        <f t="shared" ref="J4:J19" si="5">IF($AG$10="","",$C4*$AG$10)</f>
        <v>#DIV/0!</v>
      </c>
      <c r="K4" s="67" t="e">
        <f>($AH$22*'Calculation Data &amp; Factors'!$C$12)/Transmission!$AH$5*(2*PI()/60*Transmission!$B4)*IF('FMTC Main'!$E$5="Metric",3.6,2.23693629)</f>
        <v>#DIV/0!</v>
      </c>
      <c r="L4" s="67" t="e">
        <f>($AH$22*'Calculation Data &amp; Factors'!$C$12)/Transmission!$AH$6*(2*PI()/60*Transmission!$B4)*IF('FMTC Main'!$E$5="Metric",3.6,2.23693629)</f>
        <v>#DIV/0!</v>
      </c>
      <c r="M4" s="67" t="e">
        <f>($AH$22*'Calculation Data &amp; Factors'!$C$12)/Transmission!$AH$7*(2*PI()/60*Transmission!$B4)*IF('FMTC Main'!$E$5="Metric",3.6,2.23693629)</f>
        <v>#DIV/0!</v>
      </c>
      <c r="N4" s="67" t="e">
        <f>($AH$22*'Calculation Data &amp; Factors'!$C$12)/Transmission!$AH$8*(2*PI()/60*Transmission!$B4)*IF('FMTC Main'!$E$5="Metric",3.6,2.23693629)</f>
        <v>#DIV/0!</v>
      </c>
      <c r="O4" s="67" t="e">
        <f>IF($AH$9="","",($AH$22*'Calculation Data &amp; Factors'!$C$12)/Transmission!$AH$9*(2*PI()/60*Transmission!$B4)*IF('FMTC Main'!$E$5="Metric",3.6,2.23693629))</f>
        <v>#DIV/0!</v>
      </c>
      <c r="P4" s="67" t="e">
        <f>IF($AH$10="","",($AH$22*'Calculation Data &amp; Factors'!$C$12)/Transmission!$AH$10*(2*PI()/60*Transmission!$B4)*IF('FMTC Main'!$E$5="Metric",3.6,2.23693629))</f>
        <v>#DIV/0!</v>
      </c>
      <c r="Q4" s="67" t="e">
        <f>($B$20/((IF($AG$3=6,$P4,IF($AG$3=5,$O4,IF($AG$3=4,$N4))))/'Calculation Data &amp; Factors'!$B$11))*($AH$24/IF('FMTC Main'!$E$5="Metric",0.0254,1)/12)*60/5280*($C$20/IF('FMTC Main'!$E$5="Metric",1.35581795,1))/$AG$4*IF('FMTC Main'!$E$5="Metric",1.35581795,1)</f>
        <v>#DIV/0!</v>
      </c>
      <c r="R4" s="68">
        <f>B4</f>
        <v>0</v>
      </c>
      <c r="S4" s="69" t="e">
        <f>(R$28*(AG$6/AG$5))</f>
        <v>#DIV/0!</v>
      </c>
      <c r="T4" s="69" t="e">
        <f>(S$28*(AG$7/AG$6))</f>
        <v>#DIV/0!</v>
      </c>
      <c r="U4" s="69" t="e">
        <f>(T$28*(AG$8/AG$7))</f>
        <v>#DIV/0!</v>
      </c>
      <c r="V4" s="69" t="e">
        <f>IF($AG$9="","",(U$28*(AG$9/AG$8)))</f>
        <v>#DIV/0!</v>
      </c>
      <c r="W4" s="69" t="e">
        <f>IF($AG$10="","",(V$28*(AG$10/AG$9)))</f>
        <v>#DIV/0!</v>
      </c>
      <c r="X4" s="67" t="e">
        <f>($AH$22*'Calculation Data &amp; Factors'!$C$12)/Transmission!$AH$5*(2*PI()/60*$R4)*IF('FMTC Main'!$E$5="Metric",3.6,2.23693629)</f>
        <v>#DIV/0!</v>
      </c>
      <c r="Y4" s="67" t="e">
        <f>($AH$22*'Calculation Data &amp; Factors'!$C$12)/Transmission!$AH$6*(2*PI()/60*$S4)*IF('FMTC Main'!$E$5="Metric",3.6,2.23693629)</f>
        <v>#DIV/0!</v>
      </c>
      <c r="Z4" s="67" t="e">
        <f>($AH$22*'Calculation Data &amp; Factors'!$C$12)/Transmission!$AH$7*(2*PI()/60*$T4)*IF('FMTC Main'!$E$5="Metric",3.6,2.23693629)</f>
        <v>#DIV/0!</v>
      </c>
      <c r="AA4" s="67" t="e">
        <f>($AH$22*'Calculation Data &amp; Factors'!$C$12)/Transmission!$AH$8*(2*PI()/60*$U4)*IF('FMTC Main'!$E$5="Metric",3.6,2.23693629)</f>
        <v>#DIV/0!</v>
      </c>
      <c r="AB4" s="67" t="e">
        <f>IF($AH$9="","",($AH$22*'Calculation Data &amp; Factors'!$C$12)/Transmission!$AH$9*(2*PI()/60*$V4)*IF('FMTC Main'!$E$5="Metric",3.6,2.23693629))</f>
        <v>#DIV/0!</v>
      </c>
      <c r="AC4" s="67" t="e">
        <f>IF($AH$10="","",($AH$22*'Calculation Data &amp; Factors'!$C$12)/Transmission!$AH$10*(2*PI()/60*$W4)*IF('FMTC Main'!$E$5="Metric",3.6,2.23693629))</f>
        <v>#DIV/0!</v>
      </c>
      <c r="AE4" s="480" t="s">
        <v>57</v>
      </c>
      <c r="AF4" s="480"/>
      <c r="AG4" s="93" t="e">
        <f>AH37</f>
        <v>#DIV/0!</v>
      </c>
      <c r="AH4" s="578"/>
      <c r="AI4" s="579"/>
    </row>
    <row r="5" spans="1:36" ht="11.25" customHeight="1">
      <c r="B5" s="52">
        <f t="shared" ref="B5:B11" si="6">$B4+(($B$12-$B$4)/8)</f>
        <v>0</v>
      </c>
      <c r="C5" s="53" t="e">
        <f>(('Calculation Data &amp; Factors'!$A$46*(2*PI()/60*B5))+('Calculation Data &amp; Factors'!$B$46*(2*PI()/60*B5)^2)+('Calculation Data &amp; Factors'!$C$46*(2*PI()/60*B5)^3))/IF('FMTC Main'!$E$5="Metric",1,1.35581795)</f>
        <v>#DIV/0!</v>
      </c>
      <c r="D5" s="53" t="e">
        <f>B5*C5/'Calculation Data &amp; Factors'!$A$35</f>
        <v>#DIV/0!</v>
      </c>
      <c r="E5" s="181" t="e">
        <f t="shared" si="0"/>
        <v>#DIV/0!</v>
      </c>
      <c r="F5" s="54" t="e">
        <f t="shared" si="1"/>
        <v>#DIV/0!</v>
      </c>
      <c r="G5" s="54" t="e">
        <f t="shared" si="2"/>
        <v>#DIV/0!</v>
      </c>
      <c r="H5" s="54" t="e">
        <f t="shared" si="3"/>
        <v>#DIV/0!</v>
      </c>
      <c r="I5" s="54" t="e">
        <f t="shared" si="4"/>
        <v>#DIV/0!</v>
      </c>
      <c r="J5" s="54" t="e">
        <f t="shared" si="5"/>
        <v>#DIV/0!</v>
      </c>
      <c r="K5" s="67" t="e">
        <f>($AH$22*'Calculation Data &amp; Factors'!$C$12)/Transmission!$AH$5*(2*PI()/60*Transmission!$B5)*IF('FMTC Main'!$E$5="Metric",3.6,2.23693629)</f>
        <v>#DIV/0!</v>
      </c>
      <c r="L5" s="67" t="e">
        <f>($AH$22*'Calculation Data &amp; Factors'!$C$12)/Transmission!$AH$6*(2*PI()/60*Transmission!$B5)*IF('FMTC Main'!$E$5="Metric",3.6,2.23693629)</f>
        <v>#DIV/0!</v>
      </c>
      <c r="M5" s="67" t="e">
        <f>($AH$22*'Calculation Data &amp; Factors'!$C$12)/Transmission!$AH$7*(2*PI()/60*Transmission!$B5)*IF('FMTC Main'!$E$5="Metric",3.6,2.23693629)</f>
        <v>#DIV/0!</v>
      </c>
      <c r="N5" s="67" t="e">
        <f>($AH$22*'Calculation Data &amp; Factors'!$C$12)/Transmission!$AH$8*(2*PI()/60*Transmission!$B5)*IF('FMTC Main'!$E$5="Metric",3.6,2.23693629)</f>
        <v>#DIV/0!</v>
      </c>
      <c r="O5" s="67" t="e">
        <f>IF($AH$9="","",($AH$22*'Calculation Data &amp; Factors'!$C$12)/Transmission!$AH$9*(2*PI()/60*Transmission!$B5)*IF('FMTC Main'!$E$5="Metric",3.6,2.23693629))</f>
        <v>#DIV/0!</v>
      </c>
      <c r="P5" s="67" t="e">
        <f>IF($AH$10="","",($AH$22*'Calculation Data &amp; Factors'!$C$12)/Transmission!$AH$10*(2*PI()/60*Transmission!$B5)*IF('FMTC Main'!$E$5="Metric",3.6,2.23693629))</f>
        <v>#DIV/0!</v>
      </c>
      <c r="Q5" s="67" t="e">
        <f>($B$20/((IF($AG$3=6,$P5,IF($AG$3=5,$O5,IF($AG$3=4,$N5))))/'Calculation Data &amp; Factors'!$B$11))*($AH$24/IF('FMTC Main'!$E$5="Metric",0.0254,1)/12)*60/5280*($C$20/IF('FMTC Main'!$E$5="Metric",1.35581795,1))/$AG$4*IF('FMTC Main'!$E$5="Metric",1.35581795,1)</f>
        <v>#DIV/0!</v>
      </c>
      <c r="R5" s="70">
        <f t="shared" ref="R5:R27" si="7">$R4+((R$28-R$4)/24)</f>
        <v>0</v>
      </c>
      <c r="S5" s="70" t="e">
        <f t="shared" ref="S5:S27" si="8">S4+((S$28-S$4)/24)</f>
        <v>#DIV/0!</v>
      </c>
      <c r="T5" s="70" t="e">
        <f t="shared" ref="T5:T27" si="9">T4+((T$28-T$4)/24)</f>
        <v>#DIV/0!</v>
      </c>
      <c r="U5" s="70" t="e">
        <f t="shared" ref="U5:U27" si="10">U4+((U$28-U$4)/24)</f>
        <v>#DIV/0!</v>
      </c>
      <c r="V5" s="70" t="e">
        <f t="shared" ref="V5:V27" si="11">IF($AG$9="","",V4+((V$28-V$4)/24))</f>
        <v>#DIV/0!</v>
      </c>
      <c r="W5" s="70" t="e">
        <f t="shared" ref="W5:W27" si="12">IF($AG$10="","",W4+((W$28-W$4)/24))</f>
        <v>#DIV/0!</v>
      </c>
      <c r="X5" s="67" t="e">
        <f>($AH$22*'Calculation Data &amp; Factors'!$C$12)/Transmission!$AH$5*(2*PI()/60*$R5)*IF('FMTC Main'!$E$5="Metric",3.6,2.23693629)</f>
        <v>#DIV/0!</v>
      </c>
      <c r="Y5" s="67" t="e">
        <f>($AH$22*'Calculation Data &amp; Factors'!$C$12)/Transmission!$AH$6*(2*PI()/60*$S5)*IF('FMTC Main'!$E$5="Metric",3.6,2.23693629)</f>
        <v>#DIV/0!</v>
      </c>
      <c r="Z5" s="67" t="e">
        <f>($AH$22*'Calculation Data &amp; Factors'!$C$12)/Transmission!$AH$7*(2*PI()/60*$T5)*IF('FMTC Main'!$E$5="Metric",3.6,2.23693629)</f>
        <v>#DIV/0!</v>
      </c>
      <c r="AA5" s="67" t="e">
        <f>($AH$22*'Calculation Data &amp; Factors'!$C$12)/Transmission!$AH$8*(2*PI()/60*$U5)*IF('FMTC Main'!$E$5="Metric",3.6,2.23693629)</f>
        <v>#DIV/0!</v>
      </c>
      <c r="AB5" s="67" t="e">
        <f>IF($AH$9="","",($AH$22*'Calculation Data &amp; Factors'!$C$12)/Transmission!$AH$9*(2*PI()/60*$V5)*IF('FMTC Main'!$E$5="Metric",3.6,2.23693629))</f>
        <v>#DIV/0!</v>
      </c>
      <c r="AC5" s="67" t="e">
        <f>IF($AH$10="","",($AH$22*'Calculation Data &amp; Factors'!$C$12)/Transmission!$AH$10*(2*PI()/60*$W5)*IF('FMTC Main'!$E$5="Metric",3.6,2.23693629))</f>
        <v>#DIV/0!</v>
      </c>
      <c r="AE5" s="480" t="s">
        <v>9</v>
      </c>
      <c r="AF5" s="480"/>
      <c r="AG5" s="84" t="e">
        <f>MROUND(IF(((AH24*IF('FMTC Main'!$E$5="Metric",39.3700787,1))*60*'FMTC Main'!E16)/((AH33/'Calculation Data &amp; Factors'!B11)*12*5280)&gt;6.1,(((AH24*IF('FMTC Main'!$E$5="Metric",39.3700787,1))*60*'FMTC Main'!E16)/((AH33/'Calculation Data &amp; Factors'!B11)*12*5280)*'Calculation Data &amp; Factors'!A44)/6.1,'Calculation Data &amp; Factors'!A44),0.01)</f>
        <v>#DIV/0!</v>
      </c>
      <c r="AH5" s="71" t="e">
        <f>$AG$4*AG5</f>
        <v>#DIV/0!</v>
      </c>
      <c r="AI5" s="72"/>
    </row>
    <row r="6" spans="1:36" ht="11.25" customHeight="1">
      <c r="B6" s="52">
        <f t="shared" si="6"/>
        <v>0</v>
      </c>
      <c r="C6" s="53" t="e">
        <f>(('Calculation Data &amp; Factors'!$A$46*(2*PI()/60*B6))+('Calculation Data &amp; Factors'!$B$46*(2*PI()/60*B6)^2)+('Calculation Data &amp; Factors'!$C$46*(2*PI()/60*B6)^3))/IF('FMTC Main'!$E$5="Metric",1,1.35581795)</f>
        <v>#DIV/0!</v>
      </c>
      <c r="D6" s="53" t="e">
        <f>B6*C6/'Calculation Data &amp; Factors'!$A$35</f>
        <v>#DIV/0!</v>
      </c>
      <c r="E6" s="181" t="e">
        <f t="shared" si="0"/>
        <v>#DIV/0!</v>
      </c>
      <c r="F6" s="54" t="e">
        <f t="shared" si="1"/>
        <v>#DIV/0!</v>
      </c>
      <c r="G6" s="54" t="e">
        <f t="shared" si="2"/>
        <v>#DIV/0!</v>
      </c>
      <c r="H6" s="54" t="e">
        <f t="shared" si="3"/>
        <v>#DIV/0!</v>
      </c>
      <c r="I6" s="54" t="e">
        <f t="shared" si="4"/>
        <v>#DIV/0!</v>
      </c>
      <c r="J6" s="54" t="e">
        <f t="shared" si="5"/>
        <v>#DIV/0!</v>
      </c>
      <c r="K6" s="67" t="e">
        <f>($AH$22*'Calculation Data &amp; Factors'!$C$12)/Transmission!$AH$5*(2*PI()/60*Transmission!$B6)*IF('FMTC Main'!$E$5="Metric",3.6,2.23693629)</f>
        <v>#DIV/0!</v>
      </c>
      <c r="L6" s="67" t="e">
        <f>($AH$22*'Calculation Data &amp; Factors'!$C$12)/Transmission!$AH$6*(2*PI()/60*Transmission!$B6)*IF('FMTC Main'!$E$5="Metric",3.6,2.23693629)</f>
        <v>#DIV/0!</v>
      </c>
      <c r="M6" s="67" t="e">
        <f>($AH$22*'Calculation Data &amp; Factors'!$C$12)/Transmission!$AH$7*(2*PI()/60*Transmission!$B6)*IF('FMTC Main'!$E$5="Metric",3.6,2.23693629)</f>
        <v>#DIV/0!</v>
      </c>
      <c r="N6" s="67" t="e">
        <f>($AH$22*'Calculation Data &amp; Factors'!$C$12)/Transmission!$AH$8*(2*PI()/60*Transmission!$B6)*IF('FMTC Main'!$E$5="Metric",3.6,2.23693629)</f>
        <v>#DIV/0!</v>
      </c>
      <c r="O6" s="67" t="e">
        <f>IF($AH$9="","",($AH$22*'Calculation Data &amp; Factors'!$C$12)/Transmission!$AH$9*(2*PI()/60*Transmission!$B6)*IF('FMTC Main'!$E$5="Metric",3.6,2.23693629))</f>
        <v>#DIV/0!</v>
      </c>
      <c r="P6" s="67" t="e">
        <f>IF($AH$10="","",($AH$22*'Calculation Data &amp; Factors'!$C$12)/Transmission!$AH$10*(2*PI()/60*Transmission!$B6)*IF('FMTC Main'!$E$5="Metric",3.6,2.23693629))</f>
        <v>#DIV/0!</v>
      </c>
      <c r="Q6" s="67" t="e">
        <f>($B$20/((IF($AG$3=6,$P6,IF($AG$3=5,$O6,IF($AG$3=4,$N6))))/'Calculation Data &amp; Factors'!$B$11))*($AH$24/IF('FMTC Main'!$E$5="Metric",0.0254,1)/12)*60/5280*($C$20/IF('FMTC Main'!$E$5="Metric",1.35581795,1))/$AG$4*IF('FMTC Main'!$E$5="Metric",1.35581795,1)</f>
        <v>#DIV/0!</v>
      </c>
      <c r="R6" s="70">
        <f t="shared" si="7"/>
        <v>0</v>
      </c>
      <c r="S6" s="70" t="e">
        <f t="shared" si="8"/>
        <v>#DIV/0!</v>
      </c>
      <c r="T6" s="70" t="e">
        <f t="shared" si="9"/>
        <v>#DIV/0!</v>
      </c>
      <c r="U6" s="70" t="e">
        <f t="shared" si="10"/>
        <v>#DIV/0!</v>
      </c>
      <c r="V6" s="70" t="e">
        <f t="shared" si="11"/>
        <v>#DIV/0!</v>
      </c>
      <c r="W6" s="70" t="e">
        <f t="shared" si="12"/>
        <v>#DIV/0!</v>
      </c>
      <c r="X6" s="67" t="e">
        <f>($AH$22*'Calculation Data &amp; Factors'!$C$12)/Transmission!$AH$5*(2*PI()/60*$R6)*IF('FMTC Main'!$E$5="Metric",3.6,2.23693629)</f>
        <v>#DIV/0!</v>
      </c>
      <c r="Y6" s="67" t="e">
        <f>($AH$22*'Calculation Data &amp; Factors'!$C$12)/Transmission!$AH$6*(2*PI()/60*$S6)*IF('FMTC Main'!$E$5="Metric",3.6,2.23693629)</f>
        <v>#DIV/0!</v>
      </c>
      <c r="Z6" s="67" t="e">
        <f>($AH$22*'Calculation Data &amp; Factors'!$C$12)/Transmission!$AH$7*(2*PI()/60*$T6)*IF('FMTC Main'!$E$5="Metric",3.6,2.23693629)</f>
        <v>#DIV/0!</v>
      </c>
      <c r="AA6" s="67" t="e">
        <f>($AH$22*'Calculation Data &amp; Factors'!$C$12)/Transmission!$AH$8*(2*PI()/60*$U6)*IF('FMTC Main'!$E$5="Metric",3.6,2.23693629)</f>
        <v>#DIV/0!</v>
      </c>
      <c r="AB6" s="67" t="e">
        <f>IF($AH$9="","",($AH$22*'Calculation Data &amp; Factors'!$C$12)/Transmission!$AH$9*(2*PI()/60*$V6)*IF('FMTC Main'!$E$5="Metric",3.6,2.23693629))</f>
        <v>#DIV/0!</v>
      </c>
      <c r="AC6" s="67" t="e">
        <f>IF($AH$10="","",($AH$22*'Calculation Data &amp; Factors'!$C$12)/Transmission!$AH$10*(2*PI()/60*$W6)*IF('FMTC Main'!$E$5="Metric",3.6,2.23693629))</f>
        <v>#DIV/0!</v>
      </c>
      <c r="AE6" s="480" t="s">
        <v>10</v>
      </c>
      <c r="AF6" s="480"/>
      <c r="AG6" s="84" t="e">
        <f>MROUND(((AH22*'Calculation Data &amp; Factors'!C12)/AG4)*((2*PI()/60*B28)/((X28+((AH32-X28)/(AG3-1)))/IF('FMTC Main'!$E$5="Metric",3.6,2.23693629))),0.01)</f>
        <v>#DIV/0!</v>
      </c>
      <c r="AH6" s="71" t="e">
        <f>$AG$4*AG6</f>
        <v>#DIV/0!</v>
      </c>
      <c r="AI6" s="72"/>
    </row>
    <row r="7" spans="1:36" ht="11.25" customHeight="1">
      <c r="B7" s="52">
        <f t="shared" si="6"/>
        <v>0</v>
      </c>
      <c r="C7" s="53" t="e">
        <f>(('Calculation Data &amp; Factors'!$A$46*(2*PI()/60*B7))+('Calculation Data &amp; Factors'!$B$46*(2*PI()/60*B7)^2)+('Calculation Data &amp; Factors'!$C$46*(2*PI()/60*B7)^3))/IF('FMTC Main'!$E$5="Metric",1,1.35581795)</f>
        <v>#DIV/0!</v>
      </c>
      <c r="D7" s="53" t="e">
        <f>B7*C7/'Calculation Data &amp; Factors'!$A$35</f>
        <v>#DIV/0!</v>
      </c>
      <c r="E7" s="181" t="e">
        <f t="shared" si="0"/>
        <v>#DIV/0!</v>
      </c>
      <c r="F7" s="54" t="e">
        <f t="shared" si="1"/>
        <v>#DIV/0!</v>
      </c>
      <c r="G7" s="54" t="e">
        <f t="shared" si="2"/>
        <v>#DIV/0!</v>
      </c>
      <c r="H7" s="54" t="e">
        <f t="shared" si="3"/>
        <v>#DIV/0!</v>
      </c>
      <c r="I7" s="54" t="e">
        <f t="shared" si="4"/>
        <v>#DIV/0!</v>
      </c>
      <c r="J7" s="54" t="e">
        <f t="shared" si="5"/>
        <v>#DIV/0!</v>
      </c>
      <c r="K7" s="67" t="e">
        <f>($AH$22*'Calculation Data &amp; Factors'!$C$12)/Transmission!$AH$5*(2*PI()/60*Transmission!$B7)*IF('FMTC Main'!$E$5="Metric",3.6,2.23693629)</f>
        <v>#DIV/0!</v>
      </c>
      <c r="L7" s="67" t="e">
        <f>($AH$22*'Calculation Data &amp; Factors'!$C$12)/Transmission!$AH$6*(2*PI()/60*Transmission!$B7)*IF('FMTC Main'!$E$5="Metric",3.6,2.23693629)</f>
        <v>#DIV/0!</v>
      </c>
      <c r="M7" s="67" t="e">
        <f>($AH$22*'Calculation Data &amp; Factors'!$C$12)/Transmission!$AH$7*(2*PI()/60*Transmission!$B7)*IF('FMTC Main'!$E$5="Metric",3.6,2.23693629)</f>
        <v>#DIV/0!</v>
      </c>
      <c r="N7" s="67" t="e">
        <f>($AH$22*'Calculation Data &amp; Factors'!$C$12)/Transmission!$AH$8*(2*PI()/60*Transmission!$B7)*IF('FMTC Main'!$E$5="Metric",3.6,2.23693629)</f>
        <v>#DIV/0!</v>
      </c>
      <c r="O7" s="67" t="e">
        <f>IF($AH$9="","",($AH$22*'Calculation Data &amp; Factors'!$C$12)/Transmission!$AH$9*(2*PI()/60*Transmission!$B7)*IF('FMTC Main'!$E$5="Metric",3.6,2.23693629))</f>
        <v>#DIV/0!</v>
      </c>
      <c r="P7" s="67" t="e">
        <f>IF($AH$10="","",($AH$22*'Calculation Data &amp; Factors'!$C$12)/Transmission!$AH$10*(2*PI()/60*Transmission!$B7)*IF('FMTC Main'!$E$5="Metric",3.6,2.23693629))</f>
        <v>#DIV/0!</v>
      </c>
      <c r="Q7" s="67" t="e">
        <f>($B$20/((IF($AG$3=6,$P7,IF($AG$3=5,$O7,IF($AG$3=4,$N7))))/'Calculation Data &amp; Factors'!$B$11))*($AH$24/IF('FMTC Main'!$E$5="Metric",0.0254,1)/12)*60/5280*($C$20/IF('FMTC Main'!$E$5="Metric",1.35581795,1))/$AG$4*IF('FMTC Main'!$E$5="Metric",1.35581795,1)</f>
        <v>#DIV/0!</v>
      </c>
      <c r="R7" s="70">
        <f t="shared" si="7"/>
        <v>0</v>
      </c>
      <c r="S7" s="70" t="e">
        <f t="shared" si="8"/>
        <v>#DIV/0!</v>
      </c>
      <c r="T7" s="70" t="e">
        <f t="shared" si="9"/>
        <v>#DIV/0!</v>
      </c>
      <c r="U7" s="70" t="e">
        <f t="shared" si="10"/>
        <v>#DIV/0!</v>
      </c>
      <c r="V7" s="70" t="e">
        <f t="shared" si="11"/>
        <v>#DIV/0!</v>
      </c>
      <c r="W7" s="70" t="e">
        <f t="shared" si="12"/>
        <v>#DIV/0!</v>
      </c>
      <c r="X7" s="67" t="e">
        <f>($AH$22*'Calculation Data &amp; Factors'!$C$12)/Transmission!$AH$5*(2*PI()/60*$R7)*IF('FMTC Main'!$E$5="Metric",3.6,2.23693629)</f>
        <v>#DIV/0!</v>
      </c>
      <c r="Y7" s="67" t="e">
        <f>($AH$22*'Calculation Data &amp; Factors'!$C$12)/Transmission!$AH$6*(2*PI()/60*$S7)*IF('FMTC Main'!$E$5="Metric",3.6,2.23693629)</f>
        <v>#DIV/0!</v>
      </c>
      <c r="Z7" s="67" t="e">
        <f>($AH$22*'Calculation Data &amp; Factors'!$C$12)/Transmission!$AH$7*(2*PI()/60*$T7)*IF('FMTC Main'!$E$5="Metric",3.6,2.23693629)</f>
        <v>#DIV/0!</v>
      </c>
      <c r="AA7" s="67" t="e">
        <f>($AH$22*'Calculation Data &amp; Factors'!$C$12)/Transmission!$AH$8*(2*PI()/60*$U7)*IF('FMTC Main'!$E$5="Metric",3.6,2.23693629)</f>
        <v>#DIV/0!</v>
      </c>
      <c r="AB7" s="67" t="e">
        <f>IF($AH$9="","",($AH$22*'Calculation Data &amp; Factors'!$C$12)/Transmission!$AH$9*(2*PI()/60*$V7)*IF('FMTC Main'!$E$5="Metric",3.6,2.23693629))</f>
        <v>#DIV/0!</v>
      </c>
      <c r="AC7" s="67" t="e">
        <f>IF($AH$10="","",($AH$22*'Calculation Data &amp; Factors'!$C$12)/Transmission!$AH$10*(2*PI()/60*$W7)*IF('FMTC Main'!$E$5="Metric",3.6,2.23693629))</f>
        <v>#DIV/0!</v>
      </c>
      <c r="AE7" s="480" t="s">
        <v>11</v>
      </c>
      <c r="AF7" s="480"/>
      <c r="AG7" s="84" t="e">
        <f>MROUND(((AH22*'Calculation Data &amp; Factors'!C12)/AG4)*((2*PI()/60*B28)/((Y28+((AH32-X28)/(AG3-1)))/IF('FMTC Main'!$E$5="Metric",3.6,2.23693629))),0.01)</f>
        <v>#DIV/0!</v>
      </c>
      <c r="AH7" s="71" t="e">
        <f>$AG$4*AG7</f>
        <v>#DIV/0!</v>
      </c>
      <c r="AI7" s="72"/>
    </row>
    <row r="8" spans="1:36" ht="11.25" customHeight="1">
      <c r="B8" s="52">
        <f t="shared" si="6"/>
        <v>0</v>
      </c>
      <c r="C8" s="53" t="e">
        <f>(('Calculation Data &amp; Factors'!$A$46*(2*PI()/60*B8))+('Calculation Data &amp; Factors'!$B$46*(2*PI()/60*B8)^2)+('Calculation Data &amp; Factors'!$C$46*(2*PI()/60*B8)^3))/IF('FMTC Main'!$E$5="Metric",1,1.35581795)</f>
        <v>#DIV/0!</v>
      </c>
      <c r="D8" s="53" t="e">
        <f>B8*C8/'Calculation Data &amp; Factors'!$A$35</f>
        <v>#DIV/0!</v>
      </c>
      <c r="E8" s="181" t="e">
        <f t="shared" si="0"/>
        <v>#DIV/0!</v>
      </c>
      <c r="F8" s="54" t="e">
        <f t="shared" si="1"/>
        <v>#DIV/0!</v>
      </c>
      <c r="G8" s="54" t="e">
        <f t="shared" si="2"/>
        <v>#DIV/0!</v>
      </c>
      <c r="H8" s="54" t="e">
        <f t="shared" si="3"/>
        <v>#DIV/0!</v>
      </c>
      <c r="I8" s="54" t="e">
        <f t="shared" si="4"/>
        <v>#DIV/0!</v>
      </c>
      <c r="J8" s="54" t="e">
        <f t="shared" si="5"/>
        <v>#DIV/0!</v>
      </c>
      <c r="K8" s="67" t="e">
        <f>($AH$22*'Calculation Data &amp; Factors'!$C$12)/Transmission!$AH$5*(2*PI()/60*Transmission!$B8)*IF('FMTC Main'!$E$5="Metric",3.6,2.23693629)</f>
        <v>#DIV/0!</v>
      </c>
      <c r="L8" s="67" t="e">
        <f>($AH$22*'Calculation Data &amp; Factors'!$C$12)/Transmission!$AH$6*(2*PI()/60*Transmission!$B8)*IF('FMTC Main'!$E$5="Metric",3.6,2.23693629)</f>
        <v>#DIV/0!</v>
      </c>
      <c r="M8" s="67" t="e">
        <f>($AH$22*'Calculation Data &amp; Factors'!$C$12)/Transmission!$AH$7*(2*PI()/60*Transmission!$B8)*IF('FMTC Main'!$E$5="Metric",3.6,2.23693629)</f>
        <v>#DIV/0!</v>
      </c>
      <c r="N8" s="67" t="e">
        <f>($AH$22*'Calculation Data &amp; Factors'!$C$12)/Transmission!$AH$8*(2*PI()/60*Transmission!$B8)*IF('FMTC Main'!$E$5="Metric",3.6,2.23693629)</f>
        <v>#DIV/0!</v>
      </c>
      <c r="O8" s="67" t="e">
        <f>IF($AH$9="","",($AH$22*'Calculation Data &amp; Factors'!$C$12)/Transmission!$AH$9*(2*PI()/60*Transmission!$B8)*IF('FMTC Main'!$E$5="Metric",3.6,2.23693629))</f>
        <v>#DIV/0!</v>
      </c>
      <c r="P8" s="67" t="e">
        <f>IF($AH$10="","",($AH$22*'Calculation Data &amp; Factors'!$C$12)/Transmission!$AH$10*(2*PI()/60*Transmission!$B8)*IF('FMTC Main'!$E$5="Metric",3.6,2.23693629))</f>
        <v>#DIV/0!</v>
      </c>
      <c r="Q8" s="67" t="e">
        <f>($B$20/((IF($AG$3=6,$P8,IF($AG$3=5,$O8,IF($AG$3=4,$N8))))/'Calculation Data &amp; Factors'!$B$11))*($AH$24/IF('FMTC Main'!$E$5="Metric",0.0254,1)/12)*60/5280*($C$20/IF('FMTC Main'!$E$5="Metric",1.35581795,1))/$AG$4*IF('FMTC Main'!$E$5="Metric",1.35581795,1)</f>
        <v>#DIV/0!</v>
      </c>
      <c r="R8" s="70">
        <f t="shared" si="7"/>
        <v>0</v>
      </c>
      <c r="S8" s="70" t="e">
        <f t="shared" si="8"/>
        <v>#DIV/0!</v>
      </c>
      <c r="T8" s="70" t="e">
        <f t="shared" si="9"/>
        <v>#DIV/0!</v>
      </c>
      <c r="U8" s="70" t="e">
        <f t="shared" si="10"/>
        <v>#DIV/0!</v>
      </c>
      <c r="V8" s="70" t="e">
        <f t="shared" si="11"/>
        <v>#DIV/0!</v>
      </c>
      <c r="W8" s="70" t="e">
        <f t="shared" si="12"/>
        <v>#DIV/0!</v>
      </c>
      <c r="X8" s="67" t="e">
        <f>($AH$22*'Calculation Data &amp; Factors'!$C$12)/Transmission!$AH$5*(2*PI()/60*$R8)*IF('FMTC Main'!$E$5="Metric",3.6,2.23693629)</f>
        <v>#DIV/0!</v>
      </c>
      <c r="Y8" s="67" t="e">
        <f>($AH$22*'Calculation Data &amp; Factors'!$C$12)/Transmission!$AH$6*(2*PI()/60*$S8)*IF('FMTC Main'!$E$5="Metric",3.6,2.23693629)</f>
        <v>#DIV/0!</v>
      </c>
      <c r="Z8" s="67" t="e">
        <f>($AH$22*'Calculation Data &amp; Factors'!$C$12)/Transmission!$AH$7*(2*PI()/60*$T8)*IF('FMTC Main'!$E$5="Metric",3.6,2.23693629)</f>
        <v>#DIV/0!</v>
      </c>
      <c r="AA8" s="67" t="e">
        <f>($AH$22*'Calculation Data &amp; Factors'!$C$12)/Transmission!$AH$8*(2*PI()/60*$U8)*IF('FMTC Main'!$E$5="Metric",3.6,2.23693629)</f>
        <v>#DIV/0!</v>
      </c>
      <c r="AB8" s="67" t="e">
        <f>IF($AH$9="","",($AH$22*'Calculation Data &amp; Factors'!$C$12)/Transmission!$AH$9*(2*PI()/60*$V8)*IF('FMTC Main'!$E$5="Metric",3.6,2.23693629))</f>
        <v>#DIV/0!</v>
      </c>
      <c r="AC8" s="67" t="e">
        <f>IF($AH$10="","",($AH$22*'Calculation Data &amp; Factors'!$C$12)/Transmission!$AH$10*(2*PI()/60*$W8)*IF('FMTC Main'!$E$5="Metric",3.6,2.23693629))</f>
        <v>#DIV/0!</v>
      </c>
      <c r="AE8" s="480" t="s">
        <v>12</v>
      </c>
      <c r="AF8" s="480"/>
      <c r="AG8" s="84" t="e">
        <f>MROUND(IF(AG3=4,AH38,((AH22*'Calculation Data &amp; Factors'!C12)/AG4)*((2*PI()/60*B28)/((Z28+((AH32-X28)/(AG3-1)))/IF('FMTC Main'!$E$5="Metric",3.6,2.23693629)))),0.01)</f>
        <v>#DIV/0!</v>
      </c>
      <c r="AH8" s="71" t="e">
        <f>$AG$4*AG8</f>
        <v>#DIV/0!</v>
      </c>
      <c r="AI8" s="72"/>
    </row>
    <row r="9" spans="1:36" ht="11.25" customHeight="1">
      <c r="B9" s="52">
        <f t="shared" si="6"/>
        <v>0</v>
      </c>
      <c r="C9" s="53" t="e">
        <f>(('Calculation Data &amp; Factors'!$A$46*(2*PI()/60*B9))+('Calculation Data &amp; Factors'!$B$46*(2*PI()/60*B9)^2)+('Calculation Data &amp; Factors'!$C$46*(2*PI()/60*B9)^3))/IF('FMTC Main'!$E$5="Metric",1,1.35581795)</f>
        <v>#DIV/0!</v>
      </c>
      <c r="D9" s="53" t="e">
        <f>B9*C9/'Calculation Data &amp; Factors'!$A$35</f>
        <v>#DIV/0!</v>
      </c>
      <c r="E9" s="181" t="e">
        <f t="shared" si="0"/>
        <v>#DIV/0!</v>
      </c>
      <c r="F9" s="54" t="e">
        <f t="shared" si="1"/>
        <v>#DIV/0!</v>
      </c>
      <c r="G9" s="54" t="e">
        <f t="shared" si="2"/>
        <v>#DIV/0!</v>
      </c>
      <c r="H9" s="54" t="e">
        <f t="shared" si="3"/>
        <v>#DIV/0!</v>
      </c>
      <c r="I9" s="54" t="e">
        <f t="shared" si="4"/>
        <v>#DIV/0!</v>
      </c>
      <c r="J9" s="54" t="e">
        <f t="shared" si="5"/>
        <v>#DIV/0!</v>
      </c>
      <c r="K9" s="67" t="e">
        <f>($AH$22*'Calculation Data &amp; Factors'!$C$12)/Transmission!$AH$5*(2*PI()/60*Transmission!$B9)*IF('FMTC Main'!$E$5="Metric",3.6,2.23693629)</f>
        <v>#DIV/0!</v>
      </c>
      <c r="L9" s="67" t="e">
        <f>($AH$22*'Calculation Data &amp; Factors'!$C$12)/Transmission!$AH$6*(2*PI()/60*Transmission!$B9)*IF('FMTC Main'!$E$5="Metric",3.6,2.23693629)</f>
        <v>#DIV/0!</v>
      </c>
      <c r="M9" s="67" t="e">
        <f>($AH$22*'Calculation Data &amp; Factors'!$C$12)/Transmission!$AH$7*(2*PI()/60*Transmission!$B9)*IF('FMTC Main'!$E$5="Metric",3.6,2.23693629)</f>
        <v>#DIV/0!</v>
      </c>
      <c r="N9" s="67" t="e">
        <f>($AH$22*'Calculation Data &amp; Factors'!$C$12)/Transmission!$AH$8*(2*PI()/60*Transmission!$B9)*IF('FMTC Main'!$E$5="Metric",3.6,2.23693629)</f>
        <v>#DIV/0!</v>
      </c>
      <c r="O9" s="67" t="e">
        <f>IF($AH$9="","",($AH$22*'Calculation Data &amp; Factors'!$C$12)/Transmission!$AH$9*(2*PI()/60*Transmission!$B9)*IF('FMTC Main'!$E$5="Metric",3.6,2.23693629))</f>
        <v>#DIV/0!</v>
      </c>
      <c r="P9" s="67" t="e">
        <f>IF($AH$10="","",($AH$22*'Calculation Data &amp; Factors'!$C$12)/Transmission!$AH$10*(2*PI()/60*Transmission!$B9)*IF('FMTC Main'!$E$5="Metric",3.6,2.23693629))</f>
        <v>#DIV/0!</v>
      </c>
      <c r="Q9" s="67" t="e">
        <f>($B$20/((IF($AG$3=6,$P9,IF($AG$3=5,$O9,IF($AG$3=4,$N9))))/'Calculation Data &amp; Factors'!$B$11))*($AH$24/IF('FMTC Main'!$E$5="Metric",0.0254,1)/12)*60/5280*($C$20/IF('FMTC Main'!$E$5="Metric",1.35581795,1))/$AG$4*IF('FMTC Main'!$E$5="Metric",1.35581795,1)</f>
        <v>#DIV/0!</v>
      </c>
      <c r="R9" s="70">
        <f t="shared" si="7"/>
        <v>0</v>
      </c>
      <c r="S9" s="70" t="e">
        <f t="shared" si="8"/>
        <v>#DIV/0!</v>
      </c>
      <c r="T9" s="70" t="e">
        <f t="shared" si="9"/>
        <v>#DIV/0!</v>
      </c>
      <c r="U9" s="70" t="e">
        <f t="shared" si="10"/>
        <v>#DIV/0!</v>
      </c>
      <c r="V9" s="70" t="e">
        <f t="shared" si="11"/>
        <v>#DIV/0!</v>
      </c>
      <c r="W9" s="70" t="e">
        <f t="shared" si="12"/>
        <v>#DIV/0!</v>
      </c>
      <c r="X9" s="67" t="e">
        <f>($AH$22*'Calculation Data &amp; Factors'!$C$12)/Transmission!$AH$5*(2*PI()/60*$R9)*IF('FMTC Main'!$E$5="Metric",3.6,2.23693629)</f>
        <v>#DIV/0!</v>
      </c>
      <c r="Y9" s="67" t="e">
        <f>($AH$22*'Calculation Data &amp; Factors'!$C$12)/Transmission!$AH$6*(2*PI()/60*$S9)*IF('FMTC Main'!$E$5="Metric",3.6,2.23693629)</f>
        <v>#DIV/0!</v>
      </c>
      <c r="Z9" s="67" t="e">
        <f>($AH$22*'Calculation Data &amp; Factors'!$C$12)/Transmission!$AH$7*(2*PI()/60*$T9)*IF('FMTC Main'!$E$5="Metric",3.6,2.23693629)</f>
        <v>#DIV/0!</v>
      </c>
      <c r="AA9" s="67" t="e">
        <f>($AH$22*'Calculation Data &amp; Factors'!$C$12)/Transmission!$AH$8*(2*PI()/60*$U9)*IF('FMTC Main'!$E$5="Metric",3.6,2.23693629)</f>
        <v>#DIV/0!</v>
      </c>
      <c r="AB9" s="67" t="e">
        <f>IF($AH$9="","",($AH$22*'Calculation Data &amp; Factors'!$C$12)/Transmission!$AH$9*(2*PI()/60*$V9)*IF('FMTC Main'!$E$5="Metric",3.6,2.23693629))</f>
        <v>#DIV/0!</v>
      </c>
      <c r="AC9" s="67" t="e">
        <f>IF($AH$10="","",($AH$22*'Calculation Data &amp; Factors'!$C$12)/Transmission!$AH$10*(2*PI()/60*$W9)*IF('FMTC Main'!$E$5="Metric",3.6,2.23693629))</f>
        <v>#DIV/0!</v>
      </c>
      <c r="AE9" s="480" t="str">
        <f>IF(AG3&lt;5,"","5th")</f>
        <v>5th</v>
      </c>
      <c r="AF9" s="480"/>
      <c r="AG9" s="84" t="e">
        <f>IF(AG3&lt;5,"",MROUND(IF(AG3=5,AH38,((AH22*'Calculation Data &amp; Factors'!C12)/AG4)*((2*PI()/60*B28)/((AA28+((AH32-X28)/(AG3-1)))/IF('FMTC Main'!$E$5="Metric",3.6,2.23693629)))),0.01))</f>
        <v>#DIV/0!</v>
      </c>
      <c r="AH9" s="71" t="e">
        <f>IF(AG9="","",$AG$4*AG9)</f>
        <v>#DIV/0!</v>
      </c>
      <c r="AI9" s="72"/>
    </row>
    <row r="10" spans="1:36" ht="11.25" customHeight="1">
      <c r="B10" s="52">
        <f t="shared" si="6"/>
        <v>0</v>
      </c>
      <c r="C10" s="53" t="e">
        <f>(('Calculation Data &amp; Factors'!$A$46*(2*PI()/60*B10))+('Calculation Data &amp; Factors'!$B$46*(2*PI()/60*B10)^2)+('Calculation Data &amp; Factors'!$C$46*(2*PI()/60*B10)^3))/IF('FMTC Main'!$E$5="Metric",1,1.35581795)</f>
        <v>#DIV/0!</v>
      </c>
      <c r="D10" s="53" t="e">
        <f>B10*C10/'Calculation Data &amp; Factors'!$A$35</f>
        <v>#DIV/0!</v>
      </c>
      <c r="E10" s="181" t="e">
        <f t="shared" si="0"/>
        <v>#DIV/0!</v>
      </c>
      <c r="F10" s="54" t="e">
        <f t="shared" si="1"/>
        <v>#DIV/0!</v>
      </c>
      <c r="G10" s="54" t="e">
        <f t="shared" si="2"/>
        <v>#DIV/0!</v>
      </c>
      <c r="H10" s="54" t="e">
        <f t="shared" si="3"/>
        <v>#DIV/0!</v>
      </c>
      <c r="I10" s="54" t="e">
        <f t="shared" si="4"/>
        <v>#DIV/0!</v>
      </c>
      <c r="J10" s="54" t="e">
        <f t="shared" si="5"/>
        <v>#DIV/0!</v>
      </c>
      <c r="K10" s="67" t="e">
        <f>($AH$22*'Calculation Data &amp; Factors'!$C$12)/Transmission!$AH$5*(2*PI()/60*Transmission!$B10)*IF('FMTC Main'!$E$5="Metric",3.6,2.23693629)</f>
        <v>#DIV/0!</v>
      </c>
      <c r="L10" s="67" t="e">
        <f>($AH$22*'Calculation Data &amp; Factors'!$C$12)/Transmission!$AH$6*(2*PI()/60*Transmission!$B10)*IF('FMTC Main'!$E$5="Metric",3.6,2.23693629)</f>
        <v>#DIV/0!</v>
      </c>
      <c r="M10" s="67" t="e">
        <f>($AH$22*'Calculation Data &amp; Factors'!$C$12)/Transmission!$AH$7*(2*PI()/60*Transmission!$B10)*IF('FMTC Main'!$E$5="Metric",3.6,2.23693629)</f>
        <v>#DIV/0!</v>
      </c>
      <c r="N10" s="67" t="e">
        <f>($AH$22*'Calculation Data &amp; Factors'!$C$12)/Transmission!$AH$8*(2*PI()/60*Transmission!$B10)*IF('FMTC Main'!$E$5="Metric",3.6,2.23693629)</f>
        <v>#DIV/0!</v>
      </c>
      <c r="O10" s="67" t="e">
        <f>IF($AH$9="","",($AH$22*'Calculation Data &amp; Factors'!$C$12)/Transmission!$AH$9*(2*PI()/60*Transmission!$B10)*IF('FMTC Main'!$E$5="Metric",3.6,2.23693629))</f>
        <v>#DIV/0!</v>
      </c>
      <c r="P10" s="67" t="e">
        <f>IF($AH$10="","",($AH$22*'Calculation Data &amp; Factors'!$C$12)/Transmission!$AH$10*(2*PI()/60*Transmission!$B10)*IF('FMTC Main'!$E$5="Metric",3.6,2.23693629))</f>
        <v>#DIV/0!</v>
      </c>
      <c r="Q10" s="67" t="e">
        <f>($B$20/((IF($AG$3=6,$P10,IF($AG$3=5,$O10,IF($AG$3=4,$N10))))/'Calculation Data &amp; Factors'!$B$11))*($AH$24/IF('FMTC Main'!$E$5="Metric",0.0254,1)/12)*60/5280*($C$20/IF('FMTC Main'!$E$5="Metric",1.35581795,1))/$AG$4*IF('FMTC Main'!$E$5="Metric",1.35581795,1)</f>
        <v>#DIV/0!</v>
      </c>
      <c r="R10" s="70">
        <f t="shared" si="7"/>
        <v>0</v>
      </c>
      <c r="S10" s="70" t="e">
        <f t="shared" si="8"/>
        <v>#DIV/0!</v>
      </c>
      <c r="T10" s="70" t="e">
        <f t="shared" si="9"/>
        <v>#DIV/0!</v>
      </c>
      <c r="U10" s="70" t="e">
        <f t="shared" si="10"/>
        <v>#DIV/0!</v>
      </c>
      <c r="V10" s="70" t="e">
        <f t="shared" si="11"/>
        <v>#DIV/0!</v>
      </c>
      <c r="W10" s="70" t="e">
        <f t="shared" si="12"/>
        <v>#DIV/0!</v>
      </c>
      <c r="X10" s="67" t="e">
        <f>($AH$22*'Calculation Data &amp; Factors'!$C$12)/Transmission!$AH$5*(2*PI()/60*$R10)*IF('FMTC Main'!$E$5="Metric",3.6,2.23693629)</f>
        <v>#DIV/0!</v>
      </c>
      <c r="Y10" s="67" t="e">
        <f>($AH$22*'Calculation Data &amp; Factors'!$C$12)/Transmission!$AH$6*(2*PI()/60*$S10)*IF('FMTC Main'!$E$5="Metric",3.6,2.23693629)</f>
        <v>#DIV/0!</v>
      </c>
      <c r="Z10" s="67" t="e">
        <f>($AH$22*'Calculation Data &amp; Factors'!$C$12)/Transmission!$AH$7*(2*PI()/60*$T10)*IF('FMTC Main'!$E$5="Metric",3.6,2.23693629)</f>
        <v>#DIV/0!</v>
      </c>
      <c r="AA10" s="67" t="e">
        <f>($AH$22*'Calculation Data &amp; Factors'!$C$12)/Transmission!$AH$8*(2*PI()/60*$U10)*IF('FMTC Main'!$E$5="Metric",3.6,2.23693629)</f>
        <v>#DIV/0!</v>
      </c>
      <c r="AB10" s="67" t="e">
        <f>IF($AH$9="","",($AH$22*'Calculation Data &amp; Factors'!$C$12)/Transmission!$AH$9*(2*PI()/60*$V10)*IF('FMTC Main'!$E$5="Metric",3.6,2.23693629))</f>
        <v>#DIV/0!</v>
      </c>
      <c r="AC10" s="67" t="e">
        <f>IF($AH$10="","",($AH$22*'Calculation Data &amp; Factors'!$C$12)/Transmission!$AH$10*(2*PI()/60*$W10)*IF('FMTC Main'!$E$5="Metric",3.6,2.23693629))</f>
        <v>#DIV/0!</v>
      </c>
      <c r="AE10" s="480" t="str">
        <f>IF(AG3&lt;6,"","6th")</f>
        <v>6th</v>
      </c>
      <c r="AF10" s="480"/>
      <c r="AG10" s="85">
        <f>IF(AG3&lt;6,"",AH38)</f>
        <v>0.8</v>
      </c>
      <c r="AH10" s="71" t="e">
        <f>IF(AG10="","",$AG$4*AG10)</f>
        <v>#DIV/0!</v>
      </c>
      <c r="AI10" s="72"/>
    </row>
    <row r="11" spans="1:36" ht="11.25" customHeight="1" thickBot="1">
      <c r="B11" s="52">
        <f t="shared" si="6"/>
        <v>0</v>
      </c>
      <c r="C11" s="53" t="e">
        <f>(('Calculation Data &amp; Factors'!$A$46*(2*PI()/60*B11))+('Calculation Data &amp; Factors'!$B$46*(2*PI()/60*B11)^2)+('Calculation Data &amp; Factors'!$C$46*(2*PI()/60*B11)^3))/IF('FMTC Main'!$E$5="Metric",1,1.35581795)</f>
        <v>#DIV/0!</v>
      </c>
      <c r="D11" s="53" t="e">
        <f>B11*C11/'Calculation Data &amp; Factors'!$A$35</f>
        <v>#DIV/0!</v>
      </c>
      <c r="E11" s="181" t="e">
        <f t="shared" si="0"/>
        <v>#DIV/0!</v>
      </c>
      <c r="F11" s="54" t="e">
        <f t="shared" si="1"/>
        <v>#DIV/0!</v>
      </c>
      <c r="G11" s="54" t="e">
        <f t="shared" si="2"/>
        <v>#DIV/0!</v>
      </c>
      <c r="H11" s="54" t="e">
        <f t="shared" si="3"/>
        <v>#DIV/0!</v>
      </c>
      <c r="I11" s="54" t="e">
        <f t="shared" si="4"/>
        <v>#DIV/0!</v>
      </c>
      <c r="J11" s="54" t="e">
        <f t="shared" si="5"/>
        <v>#DIV/0!</v>
      </c>
      <c r="K11" s="67" t="e">
        <f>($AH$22*'Calculation Data &amp; Factors'!$C$12)/Transmission!$AH$5*(2*PI()/60*Transmission!$B11)*IF('FMTC Main'!$E$5="Metric",3.6,2.23693629)</f>
        <v>#DIV/0!</v>
      </c>
      <c r="L11" s="67" t="e">
        <f>($AH$22*'Calculation Data &amp; Factors'!$C$12)/Transmission!$AH$6*(2*PI()/60*Transmission!$B11)*IF('FMTC Main'!$E$5="Metric",3.6,2.23693629)</f>
        <v>#DIV/0!</v>
      </c>
      <c r="M11" s="67" t="e">
        <f>($AH$22*'Calculation Data &amp; Factors'!$C$12)/Transmission!$AH$7*(2*PI()/60*Transmission!$B11)*IF('FMTC Main'!$E$5="Metric",3.6,2.23693629)</f>
        <v>#DIV/0!</v>
      </c>
      <c r="N11" s="67" t="e">
        <f>($AH$22*'Calculation Data &amp; Factors'!$C$12)/Transmission!$AH$8*(2*PI()/60*Transmission!$B11)*IF('FMTC Main'!$E$5="Metric",3.6,2.23693629)</f>
        <v>#DIV/0!</v>
      </c>
      <c r="O11" s="67" t="e">
        <f>IF($AH$9="","",($AH$22*'Calculation Data &amp; Factors'!$C$12)/Transmission!$AH$9*(2*PI()/60*Transmission!$B11)*IF('FMTC Main'!$E$5="Metric",3.6,2.23693629))</f>
        <v>#DIV/0!</v>
      </c>
      <c r="P11" s="67" t="e">
        <f>IF($AH$10="","",($AH$22*'Calculation Data &amp; Factors'!$C$12)/Transmission!$AH$10*(2*PI()/60*Transmission!$B11)*IF('FMTC Main'!$E$5="Metric",3.6,2.23693629))</f>
        <v>#DIV/0!</v>
      </c>
      <c r="Q11" s="67" t="e">
        <f>($B$20/((IF($AG$3=6,$P11,IF($AG$3=5,$O11,IF($AG$3=4,$N11))))/'Calculation Data &amp; Factors'!$B$11))*($AH$24/IF('FMTC Main'!$E$5="Metric",0.0254,1)/12)*60/5280*($C$20/IF('FMTC Main'!$E$5="Metric",1.35581795,1))/$AG$4*IF('FMTC Main'!$E$5="Metric",1.35581795,1)</f>
        <v>#DIV/0!</v>
      </c>
      <c r="R11" s="70">
        <f t="shared" si="7"/>
        <v>0</v>
      </c>
      <c r="S11" s="70" t="e">
        <f t="shared" si="8"/>
        <v>#DIV/0!</v>
      </c>
      <c r="T11" s="70" t="e">
        <f t="shared" si="9"/>
        <v>#DIV/0!</v>
      </c>
      <c r="U11" s="70" t="e">
        <f t="shared" si="10"/>
        <v>#DIV/0!</v>
      </c>
      <c r="V11" s="70" t="e">
        <f t="shared" si="11"/>
        <v>#DIV/0!</v>
      </c>
      <c r="W11" s="70" t="e">
        <f t="shared" si="12"/>
        <v>#DIV/0!</v>
      </c>
      <c r="X11" s="67" t="e">
        <f>($AH$22*'Calculation Data &amp; Factors'!$C$12)/Transmission!$AH$5*(2*PI()/60*$R11)*IF('FMTC Main'!$E$5="Metric",3.6,2.23693629)</f>
        <v>#DIV/0!</v>
      </c>
      <c r="Y11" s="67" t="e">
        <f>($AH$22*'Calculation Data &amp; Factors'!$C$12)/Transmission!$AH$6*(2*PI()/60*$S11)*IF('FMTC Main'!$E$5="Metric",3.6,2.23693629)</f>
        <v>#DIV/0!</v>
      </c>
      <c r="Z11" s="67" t="e">
        <f>($AH$22*'Calculation Data &amp; Factors'!$C$12)/Transmission!$AH$7*(2*PI()/60*$T11)*IF('FMTC Main'!$E$5="Metric",3.6,2.23693629)</f>
        <v>#DIV/0!</v>
      </c>
      <c r="AA11" s="67" t="e">
        <f>($AH$22*'Calculation Data &amp; Factors'!$C$12)/Transmission!$AH$8*(2*PI()/60*$U11)*IF('FMTC Main'!$E$5="Metric",3.6,2.23693629)</f>
        <v>#DIV/0!</v>
      </c>
      <c r="AB11" s="67" t="e">
        <f>IF($AH$9="","",($AH$22*'Calculation Data &amp; Factors'!$C$12)/Transmission!$AH$9*(2*PI()/60*$V11)*IF('FMTC Main'!$E$5="Metric",3.6,2.23693629))</f>
        <v>#DIV/0!</v>
      </c>
      <c r="AC11" s="67" t="e">
        <f>IF($AH$10="","",($AH$22*'Calculation Data &amp; Factors'!$C$12)/Transmission!$AH$10*(2*PI()/60*$W11)*IF('FMTC Main'!$E$5="Metric",3.6,2.23693629))</f>
        <v>#DIV/0!</v>
      </c>
    </row>
    <row r="12" spans="1:36" ht="11.25" customHeight="1">
      <c r="B12" s="55">
        <f>'FMTC Main'!E15</f>
        <v>0</v>
      </c>
      <c r="C12" s="56" t="e">
        <f>(('Calculation Data &amp; Factors'!$A$46*(2*PI()/60*B12))+('Calculation Data &amp; Factors'!$B$46*(2*PI()/60*B12)^2)+('Calculation Data &amp; Factors'!$C$46*(2*PI()/60*B12)^3))/IF('FMTC Main'!$E$5="Metric",1,1.35581795)</f>
        <v>#DIV/0!</v>
      </c>
      <c r="D12" s="57" t="e">
        <f>B12*C12/'Calculation Data &amp; Factors'!$A$35</f>
        <v>#DIV/0!</v>
      </c>
      <c r="E12" s="181" t="e">
        <f t="shared" si="0"/>
        <v>#DIV/0!</v>
      </c>
      <c r="F12" s="54" t="e">
        <f t="shared" si="1"/>
        <v>#DIV/0!</v>
      </c>
      <c r="G12" s="54" t="e">
        <f t="shared" si="2"/>
        <v>#DIV/0!</v>
      </c>
      <c r="H12" s="54" t="e">
        <f t="shared" si="3"/>
        <v>#DIV/0!</v>
      </c>
      <c r="I12" s="54" t="e">
        <f t="shared" si="4"/>
        <v>#DIV/0!</v>
      </c>
      <c r="J12" s="54" t="e">
        <f t="shared" si="5"/>
        <v>#DIV/0!</v>
      </c>
      <c r="K12" s="67" t="e">
        <f>($AH$22*'Calculation Data &amp; Factors'!$C$12)/Transmission!$AH$5*(2*PI()/60*Transmission!$B12)*IF('FMTC Main'!$E$5="Metric",3.6,2.23693629)</f>
        <v>#DIV/0!</v>
      </c>
      <c r="L12" s="67" t="e">
        <f>($AH$22*'Calculation Data &amp; Factors'!$C$12)/Transmission!$AH$6*(2*PI()/60*Transmission!$B12)*IF('FMTC Main'!$E$5="Metric",3.6,2.23693629)</f>
        <v>#DIV/0!</v>
      </c>
      <c r="M12" s="67" t="e">
        <f>($AH$22*'Calculation Data &amp; Factors'!$C$12)/Transmission!$AH$7*(2*PI()/60*Transmission!$B12)*IF('FMTC Main'!$E$5="Metric",3.6,2.23693629)</f>
        <v>#DIV/0!</v>
      </c>
      <c r="N12" s="67" t="e">
        <f>($AH$22*'Calculation Data &amp; Factors'!$C$12)/Transmission!$AH$8*(2*PI()/60*Transmission!$B12)*IF('FMTC Main'!$E$5="Metric",3.6,2.23693629)</f>
        <v>#DIV/0!</v>
      </c>
      <c r="O12" s="67" t="e">
        <f>IF($AH$9="","",($AH$22*'Calculation Data &amp; Factors'!$C$12)/Transmission!$AH$9*(2*PI()/60*Transmission!$B12)*IF('FMTC Main'!$E$5="Metric",3.6,2.23693629))</f>
        <v>#DIV/0!</v>
      </c>
      <c r="P12" s="67" t="e">
        <f>IF($AH$10="","",($AH$22*'Calculation Data &amp; Factors'!$C$12)/Transmission!$AH$10*(2*PI()/60*Transmission!$B12)*IF('FMTC Main'!$E$5="Metric",3.6,2.23693629))</f>
        <v>#DIV/0!</v>
      </c>
      <c r="Q12" s="67" t="e">
        <f>($B$20/((IF($AG$3=6,$P12,IF($AG$3=5,$O12,IF($AG$3=4,$N12))))/'Calculation Data &amp; Factors'!$B$11))*($AH$24/IF('FMTC Main'!$E$5="Metric",0.0254,1)/12)*60/5280*($C$20/IF('FMTC Main'!$E$5="Metric",1.35581795,1))/$AG$4*IF('FMTC Main'!$E$5="Metric",1.35581795,1)</f>
        <v>#DIV/0!</v>
      </c>
      <c r="R12" s="70">
        <f t="shared" si="7"/>
        <v>0</v>
      </c>
      <c r="S12" s="70" t="e">
        <f t="shared" si="8"/>
        <v>#DIV/0!</v>
      </c>
      <c r="T12" s="70" t="e">
        <f t="shared" si="9"/>
        <v>#DIV/0!</v>
      </c>
      <c r="U12" s="70" t="e">
        <f t="shared" si="10"/>
        <v>#DIV/0!</v>
      </c>
      <c r="V12" s="70" t="e">
        <f t="shared" si="11"/>
        <v>#DIV/0!</v>
      </c>
      <c r="W12" s="70" t="e">
        <f t="shared" si="12"/>
        <v>#DIV/0!</v>
      </c>
      <c r="X12" s="67" t="e">
        <f>($AH$22*'Calculation Data &amp; Factors'!$C$12)/Transmission!$AH$5*(2*PI()/60*$R12)*IF('FMTC Main'!$E$5="Metric",3.6,2.23693629)</f>
        <v>#DIV/0!</v>
      </c>
      <c r="Y12" s="67" t="e">
        <f>($AH$22*'Calculation Data &amp; Factors'!$C$12)/Transmission!$AH$6*(2*PI()/60*$S12)*IF('FMTC Main'!$E$5="Metric",3.6,2.23693629)</f>
        <v>#DIV/0!</v>
      </c>
      <c r="Z12" s="67" t="e">
        <f>($AH$22*'Calculation Data &amp; Factors'!$C$12)/Transmission!$AH$7*(2*PI()/60*$T12)*IF('FMTC Main'!$E$5="Metric",3.6,2.23693629)</f>
        <v>#DIV/0!</v>
      </c>
      <c r="AA12" s="67" t="e">
        <f>($AH$22*'Calculation Data &amp; Factors'!$C$12)/Transmission!$AH$8*(2*PI()/60*$U12)*IF('FMTC Main'!$E$5="Metric",3.6,2.23693629)</f>
        <v>#DIV/0!</v>
      </c>
      <c r="AB12" s="67" t="e">
        <f>IF($AH$9="","",($AH$22*'Calculation Data &amp; Factors'!$C$12)/Transmission!$AH$9*(2*PI()/60*$V12)*IF('FMTC Main'!$E$5="Metric",3.6,2.23693629))</f>
        <v>#DIV/0!</v>
      </c>
      <c r="AC12" s="67" t="e">
        <f>IF($AH$10="","",($AH$22*'Calculation Data &amp; Factors'!$C$12)/Transmission!$AH$10*(2*PI()/60*$W12)*IF('FMTC Main'!$E$5="Metric",3.6,2.23693629))</f>
        <v>#DIV/0!</v>
      </c>
      <c r="AE12" s="561" t="s">
        <v>67</v>
      </c>
      <c r="AF12" s="562"/>
      <c r="AG12" s="563"/>
    </row>
    <row r="13" spans="1:36" ht="11.25" customHeight="1">
      <c r="B13" s="52">
        <f t="shared" ref="B13:B19" si="13">$B12+(($B$20-$B$12)/8)</f>
        <v>0</v>
      </c>
      <c r="C13" s="53" t="e">
        <f>C12+($C$20-$C$12)/8</f>
        <v>#DIV/0!</v>
      </c>
      <c r="D13" s="53" t="e">
        <f>B13*C13/'Calculation Data &amp; Factors'!$A$35</f>
        <v>#DIV/0!</v>
      </c>
      <c r="E13" s="181" t="e">
        <f t="shared" si="0"/>
        <v>#DIV/0!</v>
      </c>
      <c r="F13" s="54" t="e">
        <f t="shared" si="1"/>
        <v>#DIV/0!</v>
      </c>
      <c r="G13" s="54" t="e">
        <f t="shared" si="2"/>
        <v>#DIV/0!</v>
      </c>
      <c r="H13" s="54" t="e">
        <f t="shared" si="3"/>
        <v>#DIV/0!</v>
      </c>
      <c r="I13" s="54" t="e">
        <f t="shared" si="4"/>
        <v>#DIV/0!</v>
      </c>
      <c r="J13" s="54" t="e">
        <f t="shared" si="5"/>
        <v>#DIV/0!</v>
      </c>
      <c r="K13" s="67" t="e">
        <f>($AH$22*'Calculation Data &amp; Factors'!$C$12)/Transmission!$AH$5*(2*PI()/60*Transmission!$B13)*IF('FMTC Main'!$E$5="Metric",3.6,2.23693629)</f>
        <v>#DIV/0!</v>
      </c>
      <c r="L13" s="67" t="e">
        <f>($AH$22*'Calculation Data &amp; Factors'!$C$12)/Transmission!$AH$6*(2*PI()/60*Transmission!$B13)*IF('FMTC Main'!$E$5="Metric",3.6,2.23693629)</f>
        <v>#DIV/0!</v>
      </c>
      <c r="M13" s="67" t="e">
        <f>($AH$22*'Calculation Data &amp; Factors'!$C$12)/Transmission!$AH$7*(2*PI()/60*Transmission!$B13)*IF('FMTC Main'!$E$5="Metric",3.6,2.23693629)</f>
        <v>#DIV/0!</v>
      </c>
      <c r="N13" s="67" t="e">
        <f>($AH$22*'Calculation Data &amp; Factors'!$C$12)/Transmission!$AH$8*(2*PI()/60*Transmission!$B13)*IF('FMTC Main'!$E$5="Metric",3.6,2.23693629)</f>
        <v>#DIV/0!</v>
      </c>
      <c r="O13" s="67" t="e">
        <f>IF($AH$9="","",($AH$22*'Calculation Data &amp; Factors'!$C$12)/Transmission!$AH$9*(2*PI()/60*Transmission!$B13)*IF('FMTC Main'!$E$5="Metric",3.6,2.23693629))</f>
        <v>#DIV/0!</v>
      </c>
      <c r="P13" s="67" t="e">
        <f>IF($AH$10="","",($AH$22*'Calculation Data &amp; Factors'!$C$12)/Transmission!$AH$10*(2*PI()/60*Transmission!$B13)*IF('FMTC Main'!$E$5="Metric",3.6,2.23693629))</f>
        <v>#DIV/0!</v>
      </c>
      <c r="Q13" s="67" t="e">
        <f>($B$20/((IF($AG$3=6,$P13,IF($AG$3=5,$O13,IF($AG$3=4,$N13))))/'Calculation Data &amp; Factors'!$B$11))*($AH$24/IF('FMTC Main'!$E$5="Metric",0.0254,1)/12)*60/5280*($C$20/IF('FMTC Main'!$E$5="Metric",1.35581795,1))/$AG$4*IF('FMTC Main'!$E$5="Metric",1.35581795,1)</f>
        <v>#DIV/0!</v>
      </c>
      <c r="R13" s="70">
        <f t="shared" si="7"/>
        <v>0</v>
      </c>
      <c r="S13" s="70" t="e">
        <f t="shared" si="8"/>
        <v>#DIV/0!</v>
      </c>
      <c r="T13" s="70" t="e">
        <f t="shared" si="9"/>
        <v>#DIV/0!</v>
      </c>
      <c r="U13" s="70" t="e">
        <f t="shared" si="10"/>
        <v>#DIV/0!</v>
      </c>
      <c r="V13" s="70" t="e">
        <f t="shared" si="11"/>
        <v>#DIV/0!</v>
      </c>
      <c r="W13" s="70" t="e">
        <f t="shared" si="12"/>
        <v>#DIV/0!</v>
      </c>
      <c r="X13" s="67" t="e">
        <f>($AH$22*'Calculation Data &amp; Factors'!$C$12)/Transmission!$AH$5*(2*PI()/60*$R13)*IF('FMTC Main'!$E$5="Metric",3.6,2.23693629)</f>
        <v>#DIV/0!</v>
      </c>
      <c r="Y13" s="67" t="e">
        <f>($AH$22*'Calculation Data &amp; Factors'!$C$12)/Transmission!$AH$6*(2*PI()/60*$S13)*IF('FMTC Main'!$E$5="Metric",3.6,2.23693629)</f>
        <v>#DIV/0!</v>
      </c>
      <c r="Z13" s="67" t="e">
        <f>($AH$22*'Calculation Data &amp; Factors'!$C$12)/Transmission!$AH$7*(2*PI()/60*$T13)*IF('FMTC Main'!$E$5="Metric",3.6,2.23693629)</f>
        <v>#DIV/0!</v>
      </c>
      <c r="AA13" s="67" t="e">
        <f>($AH$22*'Calculation Data &amp; Factors'!$C$12)/Transmission!$AH$8*(2*PI()/60*$U13)*IF('FMTC Main'!$E$5="Metric",3.6,2.23693629)</f>
        <v>#DIV/0!</v>
      </c>
      <c r="AB13" s="67" t="e">
        <f>IF($AH$9="","",($AH$22*'Calculation Data &amp; Factors'!$C$12)/Transmission!$AH$9*(2*PI()/60*$V13)*IF('FMTC Main'!$E$5="Metric",3.6,2.23693629))</f>
        <v>#DIV/0!</v>
      </c>
      <c r="AC13" s="67" t="e">
        <f>IF($AH$10="","",($AH$22*'Calculation Data &amp; Factors'!$C$12)/Transmission!$AH$10*(2*PI()/60*$W13)*IF('FMTC Main'!$E$5="Metric",3.6,2.23693629))</f>
        <v>#DIV/0!</v>
      </c>
      <c r="AE13" s="558" t="s">
        <v>66</v>
      </c>
      <c r="AF13" s="559"/>
      <c r="AG13" s="560"/>
      <c r="AH13" s="73" t="e">
        <f>MROUND(IF('Calculation Data &amp; Factors'!A43&lt;B4,B4,IF('Calculation Data &amp; Factors'!A43&gt;B12,B12,'Calculation Data &amp; Factors'!A43)),50)</f>
        <v>#DIV/0!</v>
      </c>
      <c r="AI13" s="16" t="s">
        <v>17</v>
      </c>
    </row>
    <row r="14" spans="1:36" ht="11.25" customHeight="1">
      <c r="B14" s="52">
        <f t="shared" si="13"/>
        <v>0</v>
      </c>
      <c r="C14" s="53" t="e">
        <f t="shared" ref="C14:C19" si="14">C13+($C$20-$C$12)/8</f>
        <v>#DIV/0!</v>
      </c>
      <c r="D14" s="53" t="e">
        <f>B14*C14/'Calculation Data &amp; Factors'!$A$35</f>
        <v>#DIV/0!</v>
      </c>
      <c r="E14" s="181" t="e">
        <f t="shared" si="0"/>
        <v>#DIV/0!</v>
      </c>
      <c r="F14" s="54" t="e">
        <f t="shared" si="1"/>
        <v>#DIV/0!</v>
      </c>
      <c r="G14" s="54" t="e">
        <f t="shared" si="2"/>
        <v>#DIV/0!</v>
      </c>
      <c r="H14" s="54" t="e">
        <f t="shared" si="3"/>
        <v>#DIV/0!</v>
      </c>
      <c r="I14" s="54" t="e">
        <f t="shared" si="4"/>
        <v>#DIV/0!</v>
      </c>
      <c r="J14" s="54" t="e">
        <f t="shared" si="5"/>
        <v>#DIV/0!</v>
      </c>
      <c r="K14" s="67" t="e">
        <f>($AH$22*'Calculation Data &amp; Factors'!$C$12)/Transmission!$AH$5*(2*PI()/60*Transmission!$B14)*IF('FMTC Main'!$E$5="Metric",3.6,2.23693629)</f>
        <v>#DIV/0!</v>
      </c>
      <c r="L14" s="67" t="e">
        <f>($AH$22*'Calculation Data &amp; Factors'!$C$12)/Transmission!$AH$6*(2*PI()/60*Transmission!$B14)*IF('FMTC Main'!$E$5="Metric",3.6,2.23693629)</f>
        <v>#DIV/0!</v>
      </c>
      <c r="M14" s="67" t="e">
        <f>($AH$22*'Calculation Data &amp; Factors'!$C$12)/Transmission!$AH$7*(2*PI()/60*Transmission!$B14)*IF('FMTC Main'!$E$5="Metric",3.6,2.23693629)</f>
        <v>#DIV/0!</v>
      </c>
      <c r="N14" s="67" t="e">
        <f>($AH$22*'Calculation Data &amp; Factors'!$C$12)/Transmission!$AH$8*(2*PI()/60*Transmission!$B14)*IF('FMTC Main'!$E$5="Metric",3.6,2.23693629)</f>
        <v>#DIV/0!</v>
      </c>
      <c r="O14" s="67" t="e">
        <f>IF($AH$9="","",($AH$22*'Calculation Data &amp; Factors'!$C$12)/Transmission!$AH$9*(2*PI()/60*Transmission!$B14)*IF('FMTC Main'!$E$5="Metric",3.6,2.23693629))</f>
        <v>#DIV/0!</v>
      </c>
      <c r="P14" s="67" t="e">
        <f>IF($AH$10="","",($AH$22*'Calculation Data &amp; Factors'!$C$12)/Transmission!$AH$10*(2*PI()/60*Transmission!$B14)*IF('FMTC Main'!$E$5="Metric",3.6,2.23693629))</f>
        <v>#DIV/0!</v>
      </c>
      <c r="Q14" s="67" t="e">
        <f>($B$20/((IF($AG$3=6,$P14,IF($AG$3=5,$O14,IF($AG$3=4,$N14))))/'Calculation Data &amp; Factors'!$B$11))*($AH$24/IF('FMTC Main'!$E$5="Metric",0.0254,1)/12)*60/5280*($C$20/IF('FMTC Main'!$E$5="Metric",1.35581795,1))/$AG$4*IF('FMTC Main'!$E$5="Metric",1.35581795,1)</f>
        <v>#DIV/0!</v>
      </c>
      <c r="R14" s="70">
        <f t="shared" si="7"/>
        <v>0</v>
      </c>
      <c r="S14" s="70" t="e">
        <f t="shared" si="8"/>
        <v>#DIV/0!</v>
      </c>
      <c r="T14" s="70" t="e">
        <f t="shared" si="9"/>
        <v>#DIV/0!</v>
      </c>
      <c r="U14" s="70" t="e">
        <f t="shared" si="10"/>
        <v>#DIV/0!</v>
      </c>
      <c r="V14" s="70" t="e">
        <f t="shared" si="11"/>
        <v>#DIV/0!</v>
      </c>
      <c r="W14" s="70" t="e">
        <f t="shared" si="12"/>
        <v>#DIV/0!</v>
      </c>
      <c r="X14" s="67" t="e">
        <f>($AH$22*'Calculation Data &amp; Factors'!$C$12)/Transmission!$AH$5*(2*PI()/60*$R14)*IF('FMTC Main'!$E$5="Metric",3.6,2.23693629)</f>
        <v>#DIV/0!</v>
      </c>
      <c r="Y14" s="67" t="e">
        <f>($AH$22*'Calculation Data &amp; Factors'!$C$12)/Transmission!$AH$6*(2*PI()/60*$S14)*IF('FMTC Main'!$E$5="Metric",3.6,2.23693629)</f>
        <v>#DIV/0!</v>
      </c>
      <c r="Z14" s="67" t="e">
        <f>($AH$22*'Calculation Data &amp; Factors'!$C$12)/Transmission!$AH$7*(2*PI()/60*$T14)*IF('FMTC Main'!$E$5="Metric",3.6,2.23693629)</f>
        <v>#DIV/0!</v>
      </c>
      <c r="AA14" s="67" t="e">
        <f>($AH$22*'Calculation Data &amp; Factors'!$C$12)/Transmission!$AH$8*(2*PI()/60*$U14)*IF('FMTC Main'!$E$5="Metric",3.6,2.23693629)</f>
        <v>#DIV/0!</v>
      </c>
      <c r="AB14" s="67" t="e">
        <f>IF($AH$9="","",($AH$22*'Calculation Data &amp; Factors'!$C$12)/Transmission!$AH$9*(2*PI()/60*$V14)*IF('FMTC Main'!$E$5="Metric",3.6,2.23693629))</f>
        <v>#DIV/0!</v>
      </c>
      <c r="AC14" s="67" t="e">
        <f>IF($AH$10="","",($AH$22*'Calculation Data &amp; Factors'!$C$12)/Transmission!$AH$10*(2*PI()/60*$W14)*IF('FMTC Main'!$E$5="Metric",3.6,2.23693629))</f>
        <v>#DIV/0!</v>
      </c>
    </row>
    <row r="15" spans="1:36" ht="11.25" customHeight="1">
      <c r="B15" s="52">
        <f t="shared" si="13"/>
        <v>0</v>
      </c>
      <c r="C15" s="53" t="e">
        <f t="shared" si="14"/>
        <v>#DIV/0!</v>
      </c>
      <c r="D15" s="53" t="e">
        <f>B15*C15/'Calculation Data &amp; Factors'!$A$35</f>
        <v>#DIV/0!</v>
      </c>
      <c r="E15" s="181" t="e">
        <f t="shared" si="0"/>
        <v>#DIV/0!</v>
      </c>
      <c r="F15" s="54" t="e">
        <f t="shared" si="1"/>
        <v>#DIV/0!</v>
      </c>
      <c r="G15" s="54" t="e">
        <f t="shared" si="2"/>
        <v>#DIV/0!</v>
      </c>
      <c r="H15" s="54" t="e">
        <f t="shared" si="3"/>
        <v>#DIV/0!</v>
      </c>
      <c r="I15" s="54" t="e">
        <f t="shared" si="4"/>
        <v>#DIV/0!</v>
      </c>
      <c r="J15" s="54" t="e">
        <f t="shared" si="5"/>
        <v>#DIV/0!</v>
      </c>
      <c r="K15" s="67" t="e">
        <f>($AH$22*'Calculation Data &amp; Factors'!$C$12)/Transmission!$AH$5*(2*PI()/60*Transmission!$B15)*IF('FMTC Main'!$E$5="Metric",3.6,2.23693629)</f>
        <v>#DIV/0!</v>
      </c>
      <c r="L15" s="67" t="e">
        <f>($AH$22*'Calculation Data &amp; Factors'!$C$12)/Transmission!$AH$6*(2*PI()/60*Transmission!$B15)*IF('FMTC Main'!$E$5="Metric",3.6,2.23693629)</f>
        <v>#DIV/0!</v>
      </c>
      <c r="M15" s="67" t="e">
        <f>($AH$22*'Calculation Data &amp; Factors'!$C$12)/Transmission!$AH$7*(2*PI()/60*Transmission!$B15)*IF('FMTC Main'!$E$5="Metric",3.6,2.23693629)</f>
        <v>#DIV/0!</v>
      </c>
      <c r="N15" s="67" t="e">
        <f>($AH$22*'Calculation Data &amp; Factors'!$C$12)/Transmission!$AH$8*(2*PI()/60*Transmission!$B15)*IF('FMTC Main'!$E$5="Metric",3.6,2.23693629)</f>
        <v>#DIV/0!</v>
      </c>
      <c r="O15" s="67" t="e">
        <f>IF($AH$9="","",($AH$22*'Calculation Data &amp; Factors'!$C$12)/Transmission!$AH$9*(2*PI()/60*Transmission!$B15)*IF('FMTC Main'!$E$5="Metric",3.6,2.23693629))</f>
        <v>#DIV/0!</v>
      </c>
      <c r="P15" s="67" t="e">
        <f>IF($AH$10="","",($AH$22*'Calculation Data &amp; Factors'!$C$12)/Transmission!$AH$10*(2*PI()/60*Transmission!$B15)*IF('FMTC Main'!$E$5="Metric",3.6,2.23693629))</f>
        <v>#DIV/0!</v>
      </c>
      <c r="Q15" s="67" t="e">
        <f>($B$20/((IF($AG$3=6,$P15,IF($AG$3=5,$O15,IF($AG$3=4,$N15))))/'Calculation Data &amp; Factors'!$B$11))*($AH$24/IF('FMTC Main'!$E$5="Metric",0.0254,1)/12)*60/5280*($C$20/IF('FMTC Main'!$E$5="Metric",1.35581795,1))/$AG$4*IF('FMTC Main'!$E$5="Metric",1.35581795,1)</f>
        <v>#DIV/0!</v>
      </c>
      <c r="R15" s="70">
        <f t="shared" si="7"/>
        <v>0</v>
      </c>
      <c r="S15" s="70" t="e">
        <f t="shared" si="8"/>
        <v>#DIV/0!</v>
      </c>
      <c r="T15" s="70" t="e">
        <f t="shared" si="9"/>
        <v>#DIV/0!</v>
      </c>
      <c r="U15" s="70" t="e">
        <f t="shared" si="10"/>
        <v>#DIV/0!</v>
      </c>
      <c r="V15" s="70" t="e">
        <f t="shared" si="11"/>
        <v>#DIV/0!</v>
      </c>
      <c r="W15" s="70" t="e">
        <f t="shared" si="12"/>
        <v>#DIV/0!</v>
      </c>
      <c r="X15" s="67" t="e">
        <f>($AH$22*'Calculation Data &amp; Factors'!$C$12)/Transmission!$AH$5*(2*PI()/60*$R15)*IF('FMTC Main'!$E$5="Metric",3.6,2.23693629)</f>
        <v>#DIV/0!</v>
      </c>
      <c r="Y15" s="67" t="e">
        <f>($AH$22*'Calculation Data &amp; Factors'!$C$12)/Transmission!$AH$6*(2*PI()/60*$S15)*IF('FMTC Main'!$E$5="Metric",3.6,2.23693629)</f>
        <v>#DIV/0!</v>
      </c>
      <c r="Z15" s="67" t="e">
        <f>($AH$22*'Calculation Data &amp; Factors'!$C$12)/Transmission!$AH$7*(2*PI()/60*$T15)*IF('FMTC Main'!$E$5="Metric",3.6,2.23693629)</f>
        <v>#DIV/0!</v>
      </c>
      <c r="AA15" s="67" t="e">
        <f>($AH$22*'Calculation Data &amp; Factors'!$C$12)/Transmission!$AH$8*(2*PI()/60*$U15)*IF('FMTC Main'!$E$5="Metric",3.6,2.23693629)</f>
        <v>#DIV/0!</v>
      </c>
      <c r="AB15" s="67" t="e">
        <f>IF($AH$9="","",($AH$22*'Calculation Data &amp; Factors'!$C$12)/Transmission!$AH$9*(2*PI()/60*$V15)*IF('FMTC Main'!$E$5="Metric",3.6,2.23693629))</f>
        <v>#DIV/0!</v>
      </c>
      <c r="AC15" s="67" t="e">
        <f>IF($AH$10="","",($AH$22*'Calculation Data &amp; Factors'!$C$12)/Transmission!$AH$10*(2*PI()/60*$W15)*IF('FMTC Main'!$E$5="Metric",3.6,2.23693629))</f>
        <v>#DIV/0!</v>
      </c>
      <c r="AE15" s="564" t="s">
        <v>574</v>
      </c>
      <c r="AF15" s="565"/>
      <c r="AG15" s="566"/>
      <c r="AH15" s="580" t="s">
        <v>17</v>
      </c>
      <c r="AI15" s="581"/>
    </row>
    <row r="16" spans="1:36" ht="11.25" customHeight="1">
      <c r="B16" s="52">
        <f t="shared" si="13"/>
        <v>0</v>
      </c>
      <c r="C16" s="53" t="e">
        <f t="shared" si="14"/>
        <v>#DIV/0!</v>
      </c>
      <c r="D16" s="53" t="e">
        <f>B16*C16/'Calculation Data &amp; Factors'!$A$35</f>
        <v>#DIV/0!</v>
      </c>
      <c r="E16" s="181" t="e">
        <f t="shared" si="0"/>
        <v>#DIV/0!</v>
      </c>
      <c r="F16" s="54" t="e">
        <f t="shared" si="1"/>
        <v>#DIV/0!</v>
      </c>
      <c r="G16" s="54" t="e">
        <f t="shared" si="2"/>
        <v>#DIV/0!</v>
      </c>
      <c r="H16" s="54" t="e">
        <f t="shared" si="3"/>
        <v>#DIV/0!</v>
      </c>
      <c r="I16" s="54" t="e">
        <f t="shared" si="4"/>
        <v>#DIV/0!</v>
      </c>
      <c r="J16" s="54" t="e">
        <f t="shared" si="5"/>
        <v>#DIV/0!</v>
      </c>
      <c r="K16" s="67" t="e">
        <f>($AH$22*'Calculation Data &amp; Factors'!$C$12)/Transmission!$AH$5*(2*PI()/60*Transmission!$B16)*IF('FMTC Main'!$E$5="Metric",3.6,2.23693629)</f>
        <v>#DIV/0!</v>
      </c>
      <c r="L16" s="67" t="e">
        <f>($AH$22*'Calculation Data &amp; Factors'!$C$12)/Transmission!$AH$6*(2*PI()/60*Transmission!$B16)*IF('FMTC Main'!$E$5="Metric",3.6,2.23693629)</f>
        <v>#DIV/0!</v>
      </c>
      <c r="M16" s="67" t="e">
        <f>($AH$22*'Calculation Data &amp; Factors'!$C$12)/Transmission!$AH$7*(2*PI()/60*Transmission!$B16)*IF('FMTC Main'!$E$5="Metric",3.6,2.23693629)</f>
        <v>#DIV/0!</v>
      </c>
      <c r="N16" s="67" t="e">
        <f>($AH$22*'Calculation Data &amp; Factors'!$C$12)/Transmission!$AH$8*(2*PI()/60*Transmission!$B16)*IF('FMTC Main'!$E$5="Metric",3.6,2.23693629)</f>
        <v>#DIV/0!</v>
      </c>
      <c r="O16" s="67" t="e">
        <f>IF($AH$9="","",($AH$22*'Calculation Data &amp; Factors'!$C$12)/Transmission!$AH$9*(2*PI()/60*Transmission!$B16)*IF('FMTC Main'!$E$5="Metric",3.6,2.23693629))</f>
        <v>#DIV/0!</v>
      </c>
      <c r="P16" s="67" t="e">
        <f>IF($AH$10="","",($AH$22*'Calculation Data &amp; Factors'!$C$12)/Transmission!$AH$10*(2*PI()/60*Transmission!$B16)*IF('FMTC Main'!$E$5="Metric",3.6,2.23693629))</f>
        <v>#DIV/0!</v>
      </c>
      <c r="Q16" s="67" t="e">
        <f>($B$20/((IF($AG$3=6,$P16,IF($AG$3=5,$O16,IF($AG$3=4,$N16))))/'Calculation Data &amp; Factors'!$B$11))*($AH$24/IF('FMTC Main'!$E$5="Metric",0.0254,1)/12)*60/5280*($C$20/IF('FMTC Main'!$E$5="Metric",1.35581795,1))/$AG$4*IF('FMTC Main'!$E$5="Metric",1.35581795,1)</f>
        <v>#DIV/0!</v>
      </c>
      <c r="R16" s="70">
        <f t="shared" si="7"/>
        <v>0</v>
      </c>
      <c r="S16" s="70" t="e">
        <f t="shared" si="8"/>
        <v>#DIV/0!</v>
      </c>
      <c r="T16" s="70" t="e">
        <f t="shared" si="9"/>
        <v>#DIV/0!</v>
      </c>
      <c r="U16" s="70" t="e">
        <f t="shared" si="10"/>
        <v>#DIV/0!</v>
      </c>
      <c r="V16" s="70" t="e">
        <f t="shared" si="11"/>
        <v>#DIV/0!</v>
      </c>
      <c r="W16" s="70" t="e">
        <f t="shared" si="12"/>
        <v>#DIV/0!</v>
      </c>
      <c r="X16" s="67" t="e">
        <f>($AH$22*'Calculation Data &amp; Factors'!$C$12)/Transmission!$AH$5*(2*PI()/60*$R16)*IF('FMTC Main'!$E$5="Metric",3.6,2.23693629)</f>
        <v>#DIV/0!</v>
      </c>
      <c r="Y16" s="67" t="e">
        <f>($AH$22*'Calculation Data &amp; Factors'!$C$12)/Transmission!$AH$6*(2*PI()/60*$S16)*IF('FMTC Main'!$E$5="Metric",3.6,2.23693629)</f>
        <v>#DIV/0!</v>
      </c>
      <c r="Z16" s="67" t="e">
        <f>($AH$22*'Calculation Data &amp; Factors'!$C$12)/Transmission!$AH$7*(2*PI()/60*$T16)*IF('FMTC Main'!$E$5="Metric",3.6,2.23693629)</f>
        <v>#DIV/0!</v>
      </c>
      <c r="AA16" s="67" t="e">
        <f>($AH$22*'Calculation Data &amp; Factors'!$C$12)/Transmission!$AH$8*(2*PI()/60*$U16)*IF('FMTC Main'!$E$5="Metric",3.6,2.23693629)</f>
        <v>#DIV/0!</v>
      </c>
      <c r="AB16" s="67" t="e">
        <f>IF($AH$9="","",($AH$22*'Calculation Data &amp; Factors'!$C$12)/Transmission!$AH$9*(2*PI()/60*$V16)*IF('FMTC Main'!$E$5="Metric",3.6,2.23693629))</f>
        <v>#DIV/0!</v>
      </c>
      <c r="AC16" s="67" t="e">
        <f>IF($AH$10="","",($AH$22*'Calculation Data &amp; Factors'!$C$12)/Transmission!$AH$10*(2*PI()/60*$W16)*IF('FMTC Main'!$E$5="Metric",3.6,2.23693629))</f>
        <v>#DIV/0!</v>
      </c>
      <c r="AE16" s="89" t="s">
        <v>58</v>
      </c>
      <c r="AF16" s="88" t="s">
        <v>59</v>
      </c>
      <c r="AG16" s="88" t="s">
        <v>60</v>
      </c>
      <c r="AH16" s="94" t="e">
        <f>IF(AG9="","","4 - 5")</f>
        <v>#DIV/0!</v>
      </c>
      <c r="AI16" s="95" t="str">
        <f>IF(AG10="","","5 - 6")</f>
        <v>5 - 6</v>
      </c>
    </row>
    <row r="17" spans="2:36" ht="11.25" customHeight="1">
      <c r="B17" s="52">
        <f t="shared" si="13"/>
        <v>0</v>
      </c>
      <c r="C17" s="53" t="e">
        <f t="shared" si="14"/>
        <v>#DIV/0!</v>
      </c>
      <c r="D17" s="53" t="e">
        <f>B17*C17/'Calculation Data &amp; Factors'!$A$35</f>
        <v>#DIV/0!</v>
      </c>
      <c r="E17" s="181" t="e">
        <f t="shared" si="0"/>
        <v>#DIV/0!</v>
      </c>
      <c r="F17" s="54" t="e">
        <f t="shared" si="1"/>
        <v>#DIV/0!</v>
      </c>
      <c r="G17" s="54" t="e">
        <f t="shared" si="2"/>
        <v>#DIV/0!</v>
      </c>
      <c r="H17" s="54" t="e">
        <f t="shared" si="3"/>
        <v>#DIV/0!</v>
      </c>
      <c r="I17" s="54" t="e">
        <f t="shared" si="4"/>
        <v>#DIV/0!</v>
      </c>
      <c r="J17" s="54" t="e">
        <f t="shared" si="5"/>
        <v>#DIV/0!</v>
      </c>
      <c r="K17" s="67" t="e">
        <f>($AH$22*'Calculation Data &amp; Factors'!$C$12)/Transmission!$AH$5*(2*PI()/60*Transmission!$B17)*IF('FMTC Main'!$E$5="Metric",3.6,2.23693629)</f>
        <v>#DIV/0!</v>
      </c>
      <c r="L17" s="67" t="e">
        <f>($AH$22*'Calculation Data &amp; Factors'!$C$12)/Transmission!$AH$6*(2*PI()/60*Transmission!$B17)*IF('FMTC Main'!$E$5="Metric",3.6,2.23693629)</f>
        <v>#DIV/0!</v>
      </c>
      <c r="M17" s="67" t="e">
        <f>($AH$22*'Calculation Data &amp; Factors'!$C$12)/Transmission!$AH$7*(2*PI()/60*Transmission!$B17)*IF('FMTC Main'!$E$5="Metric",3.6,2.23693629)</f>
        <v>#DIV/0!</v>
      </c>
      <c r="N17" s="67" t="e">
        <f>($AH$22*'Calculation Data &amp; Factors'!$C$12)/Transmission!$AH$8*(2*PI()/60*Transmission!$B17)*IF('FMTC Main'!$E$5="Metric",3.6,2.23693629)</f>
        <v>#DIV/0!</v>
      </c>
      <c r="O17" s="67" t="e">
        <f>IF($AH$9="","",($AH$22*'Calculation Data &amp; Factors'!$C$12)/Transmission!$AH$9*(2*PI()/60*Transmission!$B17)*IF('FMTC Main'!$E$5="Metric",3.6,2.23693629))</f>
        <v>#DIV/0!</v>
      </c>
      <c r="P17" s="67" t="e">
        <f>IF($AH$10="","",($AH$22*'Calculation Data &amp; Factors'!$C$12)/Transmission!$AH$10*(2*PI()/60*Transmission!$B17)*IF('FMTC Main'!$E$5="Metric",3.6,2.23693629))</f>
        <v>#DIV/0!</v>
      </c>
      <c r="Q17" s="67" t="e">
        <f>($B$20/((IF($AG$3=6,$P17,IF($AG$3=5,$O17,IF($AG$3=4,$N17))))/'Calculation Data &amp; Factors'!$B$11))*($AH$24/IF('FMTC Main'!$E$5="Metric",0.0254,1)/12)*60/5280*($C$20/IF('FMTC Main'!$E$5="Metric",1.35581795,1))/$AG$4*IF('FMTC Main'!$E$5="Metric",1.35581795,1)</f>
        <v>#DIV/0!</v>
      </c>
      <c r="R17" s="70">
        <f t="shared" si="7"/>
        <v>0</v>
      </c>
      <c r="S17" s="70" t="e">
        <f t="shared" si="8"/>
        <v>#DIV/0!</v>
      </c>
      <c r="T17" s="70" t="e">
        <f t="shared" si="9"/>
        <v>#DIV/0!</v>
      </c>
      <c r="U17" s="70" t="e">
        <f t="shared" si="10"/>
        <v>#DIV/0!</v>
      </c>
      <c r="V17" s="70" t="e">
        <f t="shared" si="11"/>
        <v>#DIV/0!</v>
      </c>
      <c r="W17" s="70" t="e">
        <f t="shared" si="12"/>
        <v>#DIV/0!</v>
      </c>
      <c r="X17" s="67" t="e">
        <f>($AH$22*'Calculation Data &amp; Factors'!$C$12)/Transmission!$AH$5*(2*PI()/60*$R17)*IF('FMTC Main'!$E$5="Metric",3.6,2.23693629)</f>
        <v>#DIV/0!</v>
      </c>
      <c r="Y17" s="67" t="e">
        <f>($AH$22*'Calculation Data &amp; Factors'!$C$12)/Transmission!$AH$6*(2*PI()/60*$S17)*IF('FMTC Main'!$E$5="Metric",3.6,2.23693629)</f>
        <v>#DIV/0!</v>
      </c>
      <c r="Z17" s="67" t="e">
        <f>($AH$22*'Calculation Data &amp; Factors'!$C$12)/Transmission!$AH$7*(2*PI()/60*$T17)*IF('FMTC Main'!$E$5="Metric",3.6,2.23693629)</f>
        <v>#DIV/0!</v>
      </c>
      <c r="AA17" s="67" t="e">
        <f>($AH$22*'Calculation Data &amp; Factors'!$C$12)/Transmission!$AH$8*(2*PI()/60*$U17)*IF('FMTC Main'!$E$5="Metric",3.6,2.23693629)</f>
        <v>#DIV/0!</v>
      </c>
      <c r="AB17" s="67" t="e">
        <f>IF($AH$9="","",($AH$22*'Calculation Data &amp; Factors'!$C$12)/Transmission!$AH$9*(2*PI()/60*$V17)*IF('FMTC Main'!$E$5="Metric",3.6,2.23693629))</f>
        <v>#DIV/0!</v>
      </c>
      <c r="AC17" s="67" t="e">
        <f>IF($AH$10="","",($AH$22*'Calculation Data &amp; Factors'!$C$12)/Transmission!$AH$10*(2*PI()/60*$W17)*IF('FMTC Main'!$E$5="Metric",3.6,2.23693629))</f>
        <v>#DIV/0!</v>
      </c>
      <c r="AE17" s="75" t="e">
        <f>IF($AH$15="RPM",IF(($AH$42/(-$AG$42*(1+$AG6/$AG5)))&gt;'FMTC Main'!$E$16,'FMTC Main'!$E$16,MROUND(($AH$42/(-$AG$42*(1+$AG6/$AG5))),50)),MROUND((IF(($AH$42/(-$AG$42*(1+$AG6/$AG5)))&gt;'FMTC Main'!$E$16,'FMTC Main'!$E$16,MROUND(($AH$42/(-$AG$42*(1+$AG6/$AG5))),50))*($AH$23/IF('FMTC Main'!$E$5="Metric",0.0254,1)))/($AH5*336)*'Calculation Data &amp; Factors'!$B$11,1))</f>
        <v>#VALUE!</v>
      </c>
      <c r="AF17" s="75" t="e">
        <f>IF($AH$15="RPM",IF(($AH$42/(-$AG$42*(1+$AG7/$AG6)))&gt;'FMTC Main'!$E$16,'FMTC Main'!$E$16,MROUND(($AH$42/(-$AG$42*(1+$AG7/$AG6))),50)),MROUND((IF(($AH$42/(-$AG$42*(1+$AG7/$AG6)))&gt;'FMTC Main'!$E$16,'FMTC Main'!$E$16,MROUND(($AH$42/(-$AG$42*(1+$AG7/$AG6))),50))*($AH$23/IF('FMTC Main'!$E$5="Metric",0.0254,1)))/($AH6*336)*'Calculation Data &amp; Factors'!$B$11,1))</f>
        <v>#VALUE!</v>
      </c>
      <c r="AG17" s="75" t="e">
        <f>IF($AH$15="RPM",IF(($AH$42/(-$AG$42*(1+$AG8/$AG7)))&gt;'FMTC Main'!$E$16,'FMTC Main'!$E$16,MROUND(($AH$42/(-$AG$42*(1+$AG8/$AG7))),50)),MROUND((IF(($AH$42/(-$AG$42*(1+$AG8/$AG7)))&gt;'FMTC Main'!$E$16,'FMTC Main'!$E$16,MROUND(($AH$42/(-$AG$42*(1+$AG8/$AG7))),50))*($AH$23/IF('FMTC Main'!$E$5="Metric",0.0254,1)))/($AH7*336)*'Calculation Data &amp; Factors'!$B$11,1))</f>
        <v>#VALUE!</v>
      </c>
      <c r="AH17" s="75" t="e">
        <f>IF($AG$9="","",IF($AH$15="RPM",IF(($AH$42/(-$AG$42*(1+$AG9/$AG8)))&gt;'FMTC Main'!$E$16,'FMTC Main'!$E$16,MROUND(($AH$42/(-$AG$42*(1+$AG9/$AG8))),50)),MROUND((IF(($AH$42/(-$AG$42*(1+$AG9/$AG8)))&gt;'FMTC Main'!$E$16,'FMTC Main'!$E$16,MROUND(($AH$42/(-$AG$42*(1+$AG9/$AG8))),50))*($AH$23/IF('FMTC Main'!$E$5="Metric",0.0254,1)))/($AH8*336)*'Calculation Data &amp; Factors'!$B$11,1)))</f>
        <v>#DIV/0!</v>
      </c>
      <c r="AI17" s="75" t="e">
        <f>IF($AG$10="","",IF($AH$15="RPM",IF(($AH$42/(-$AG$42*(1+$AG10/$AG9)))&gt;'FMTC Main'!$E$16,'FMTC Main'!$E$16,MROUND(($AH$42/(-$AG$42*(1+$AG10/$AG9))),50)),MROUND((IF(($AH$42/(-$AG$42*(1+$AG10/$AG9)))&gt;'FMTC Main'!$E$16,'FMTC Main'!$E$16,MROUND(($AH$42/(-$AG$42*(1+$AG10/$AG9))),50))*($AH$23/IF('FMTC Main'!$E$5="Metric",0.0254,1)))/($AH9*336)*'Calculation Data &amp; Factors'!$B$11,1)))</f>
        <v>#VALUE!</v>
      </c>
      <c r="AJ17" s="74"/>
    </row>
    <row r="18" spans="2:36" ht="11.25" customHeight="1" thickBot="1">
      <c r="B18" s="52">
        <f t="shared" si="13"/>
        <v>0</v>
      </c>
      <c r="C18" s="53" t="e">
        <f t="shared" si="14"/>
        <v>#DIV/0!</v>
      </c>
      <c r="D18" s="53" t="e">
        <f>B18*C18/'Calculation Data &amp; Factors'!$A$35</f>
        <v>#DIV/0!</v>
      </c>
      <c r="E18" s="181" t="e">
        <f t="shared" si="0"/>
        <v>#DIV/0!</v>
      </c>
      <c r="F18" s="54" t="e">
        <f t="shared" si="1"/>
        <v>#DIV/0!</v>
      </c>
      <c r="G18" s="54" t="e">
        <f t="shared" si="2"/>
        <v>#DIV/0!</v>
      </c>
      <c r="H18" s="54" t="e">
        <f t="shared" si="3"/>
        <v>#DIV/0!</v>
      </c>
      <c r="I18" s="54" t="e">
        <f t="shared" si="4"/>
        <v>#DIV/0!</v>
      </c>
      <c r="J18" s="54" t="e">
        <f t="shared" si="5"/>
        <v>#DIV/0!</v>
      </c>
      <c r="K18" s="67" t="e">
        <f>($AH$22*'Calculation Data &amp; Factors'!$C$12)/Transmission!$AH$5*(2*PI()/60*Transmission!$B18)*IF('FMTC Main'!$E$5="Metric",3.6,2.23693629)</f>
        <v>#DIV/0!</v>
      </c>
      <c r="L18" s="67" t="e">
        <f>($AH$22*'Calculation Data &amp; Factors'!$C$12)/Transmission!$AH$6*(2*PI()/60*Transmission!$B18)*IF('FMTC Main'!$E$5="Metric",3.6,2.23693629)</f>
        <v>#DIV/0!</v>
      </c>
      <c r="M18" s="67" t="e">
        <f>($AH$22*'Calculation Data &amp; Factors'!$C$12)/Transmission!$AH$7*(2*PI()/60*Transmission!$B18)*IF('FMTC Main'!$E$5="Metric",3.6,2.23693629)</f>
        <v>#DIV/0!</v>
      </c>
      <c r="N18" s="67" t="e">
        <f>($AH$22*'Calculation Data &amp; Factors'!$C$12)/Transmission!$AH$8*(2*PI()/60*Transmission!$B18)*IF('FMTC Main'!$E$5="Metric",3.6,2.23693629)</f>
        <v>#DIV/0!</v>
      </c>
      <c r="O18" s="67" t="e">
        <f>IF($AH$9="","",($AH$22*'Calculation Data &amp; Factors'!$C$12)/Transmission!$AH$9*(2*PI()/60*Transmission!$B18)*IF('FMTC Main'!$E$5="Metric",3.6,2.23693629))</f>
        <v>#DIV/0!</v>
      </c>
      <c r="P18" s="67" t="e">
        <f>IF($AH$10="","",($AH$22*'Calculation Data &amp; Factors'!$C$12)/Transmission!$AH$10*(2*PI()/60*Transmission!$B18)*IF('FMTC Main'!$E$5="Metric",3.6,2.23693629))</f>
        <v>#DIV/0!</v>
      </c>
      <c r="Q18" s="67" t="e">
        <f>($B$20/((IF($AG$3=6,$P18,IF($AG$3=5,$O18,IF($AG$3=4,$N18))))/'Calculation Data &amp; Factors'!$B$11))*($AH$24/IF('FMTC Main'!$E$5="Metric",0.0254,1)/12)*60/5280*($C$20/IF('FMTC Main'!$E$5="Metric",1.35581795,1))/$AG$4*IF('FMTC Main'!$E$5="Metric",1.35581795,1)</f>
        <v>#DIV/0!</v>
      </c>
      <c r="R18" s="70">
        <f t="shared" si="7"/>
        <v>0</v>
      </c>
      <c r="S18" s="70" t="e">
        <f t="shared" si="8"/>
        <v>#DIV/0!</v>
      </c>
      <c r="T18" s="70" t="e">
        <f t="shared" si="9"/>
        <v>#DIV/0!</v>
      </c>
      <c r="U18" s="70" t="e">
        <f t="shared" si="10"/>
        <v>#DIV/0!</v>
      </c>
      <c r="V18" s="70" t="e">
        <f t="shared" si="11"/>
        <v>#DIV/0!</v>
      </c>
      <c r="W18" s="70" t="e">
        <f t="shared" si="12"/>
        <v>#DIV/0!</v>
      </c>
      <c r="X18" s="67" t="e">
        <f>($AH$22*'Calculation Data &amp; Factors'!$C$12)/Transmission!$AH$5*(2*PI()/60*$R18)*IF('FMTC Main'!$E$5="Metric",3.6,2.23693629)</f>
        <v>#DIV/0!</v>
      </c>
      <c r="Y18" s="67" t="e">
        <f>($AH$22*'Calculation Data &amp; Factors'!$C$12)/Transmission!$AH$6*(2*PI()/60*$S18)*IF('FMTC Main'!$E$5="Metric",3.6,2.23693629)</f>
        <v>#DIV/0!</v>
      </c>
      <c r="Z18" s="67" t="e">
        <f>($AH$22*'Calculation Data &amp; Factors'!$C$12)/Transmission!$AH$7*(2*PI()/60*$T18)*IF('FMTC Main'!$E$5="Metric",3.6,2.23693629)</f>
        <v>#DIV/0!</v>
      </c>
      <c r="AA18" s="67" t="e">
        <f>($AH$22*'Calculation Data &amp; Factors'!$C$12)/Transmission!$AH$8*(2*PI()/60*$U18)*IF('FMTC Main'!$E$5="Metric",3.6,2.23693629)</f>
        <v>#DIV/0!</v>
      </c>
      <c r="AB18" s="67" t="e">
        <f>IF($AH$9="","",($AH$22*'Calculation Data &amp; Factors'!$C$12)/Transmission!$AH$9*(2*PI()/60*$V18)*IF('FMTC Main'!$E$5="Metric",3.6,2.23693629))</f>
        <v>#DIV/0!</v>
      </c>
      <c r="AC18" s="67" t="e">
        <f>IF($AH$10="","",($AH$22*'Calculation Data &amp; Factors'!$C$12)/Transmission!$AH$10*(2*PI()/60*$W18)*IF('FMTC Main'!$E$5="Metric",3.6,2.23693629))</f>
        <v>#DIV/0!</v>
      </c>
      <c r="AE18" s="191"/>
      <c r="AF18" s="191"/>
      <c r="AG18" s="191"/>
      <c r="AH18" s="191"/>
      <c r="AI18" s="191"/>
    </row>
    <row r="19" spans="2:36" ht="11.25" customHeight="1">
      <c r="B19" s="52">
        <f t="shared" si="13"/>
        <v>0</v>
      </c>
      <c r="C19" s="53" t="e">
        <f t="shared" si="14"/>
        <v>#DIV/0!</v>
      </c>
      <c r="D19" s="53" t="e">
        <f>B19*C19/'Calculation Data &amp; Factors'!$A$35</f>
        <v>#DIV/0!</v>
      </c>
      <c r="E19" s="181" t="e">
        <f t="shared" si="0"/>
        <v>#DIV/0!</v>
      </c>
      <c r="F19" s="54" t="e">
        <f t="shared" si="1"/>
        <v>#DIV/0!</v>
      </c>
      <c r="G19" s="54" t="e">
        <f t="shared" si="2"/>
        <v>#DIV/0!</v>
      </c>
      <c r="H19" s="54" t="e">
        <f t="shared" si="3"/>
        <v>#DIV/0!</v>
      </c>
      <c r="I19" s="54" t="e">
        <f t="shared" si="4"/>
        <v>#DIV/0!</v>
      </c>
      <c r="J19" s="54" t="e">
        <f t="shared" si="5"/>
        <v>#DIV/0!</v>
      </c>
      <c r="K19" s="67" t="e">
        <f>($AH$22*'Calculation Data &amp; Factors'!$C$12)/Transmission!$AH$5*(2*PI()/60*Transmission!$B19)*IF('FMTC Main'!$E$5="Metric",3.6,2.23693629)</f>
        <v>#DIV/0!</v>
      </c>
      <c r="L19" s="67" t="e">
        <f>($AH$22*'Calculation Data &amp; Factors'!$C$12)/Transmission!$AH$6*(2*PI()/60*Transmission!$B19)*IF('FMTC Main'!$E$5="Metric",3.6,2.23693629)</f>
        <v>#DIV/0!</v>
      </c>
      <c r="M19" s="67" t="e">
        <f>($AH$22*'Calculation Data &amp; Factors'!$C$12)/Transmission!$AH$7*(2*PI()/60*Transmission!$B19)*IF('FMTC Main'!$E$5="Metric",3.6,2.23693629)</f>
        <v>#DIV/0!</v>
      </c>
      <c r="N19" s="67" t="e">
        <f>($AH$22*'Calculation Data &amp; Factors'!$C$12)/Transmission!$AH$8*(2*PI()/60*Transmission!$B19)*IF('FMTC Main'!$E$5="Metric",3.6,2.23693629)</f>
        <v>#DIV/0!</v>
      </c>
      <c r="O19" s="67" t="e">
        <f>IF($AH$9="","",($AH$22*'Calculation Data &amp; Factors'!$C$12)/Transmission!$AH$9*(2*PI()/60*Transmission!$B19)*IF('FMTC Main'!$E$5="Metric",3.6,2.23693629))</f>
        <v>#DIV/0!</v>
      </c>
      <c r="P19" s="67" t="e">
        <f>IF($AH$10="","",($AH$22*'Calculation Data &amp; Factors'!$C$12)/Transmission!$AH$10*(2*PI()/60*Transmission!$B19)*IF('FMTC Main'!$E$5="Metric",3.6,2.23693629))</f>
        <v>#DIV/0!</v>
      </c>
      <c r="Q19" s="67" t="e">
        <f>($B$20/((IF($AG$3=6,$P19,IF($AG$3=5,$O19,IF($AG$3=4,$N19))))/'Calculation Data &amp; Factors'!$B$11))*($AH$24/IF('FMTC Main'!$E$5="Metric",0.0254,1)/12)*60/5280*($C$20/IF('FMTC Main'!$E$5="Metric",1.35581795,1))/$AG$4*IF('FMTC Main'!$E$5="Metric",1.35581795,1)</f>
        <v>#DIV/0!</v>
      </c>
      <c r="R19" s="70">
        <f t="shared" si="7"/>
        <v>0</v>
      </c>
      <c r="S19" s="70" t="e">
        <f t="shared" si="8"/>
        <v>#DIV/0!</v>
      </c>
      <c r="T19" s="70" t="e">
        <f t="shared" si="9"/>
        <v>#DIV/0!</v>
      </c>
      <c r="U19" s="70" t="e">
        <f t="shared" si="10"/>
        <v>#DIV/0!</v>
      </c>
      <c r="V19" s="70" t="e">
        <f t="shared" si="11"/>
        <v>#DIV/0!</v>
      </c>
      <c r="W19" s="70" t="e">
        <f t="shared" si="12"/>
        <v>#DIV/0!</v>
      </c>
      <c r="X19" s="67" t="e">
        <f>($AH$22*'Calculation Data &amp; Factors'!$C$12)/Transmission!$AH$5*(2*PI()/60*$R19)*IF('FMTC Main'!$E$5="Metric",3.6,2.23693629)</f>
        <v>#DIV/0!</v>
      </c>
      <c r="Y19" s="67" t="e">
        <f>($AH$22*'Calculation Data &amp; Factors'!$C$12)/Transmission!$AH$6*(2*PI()/60*$S19)*IF('FMTC Main'!$E$5="Metric",3.6,2.23693629)</f>
        <v>#DIV/0!</v>
      </c>
      <c r="Z19" s="67" t="e">
        <f>($AH$22*'Calculation Data &amp; Factors'!$C$12)/Transmission!$AH$7*(2*PI()/60*$T19)*IF('FMTC Main'!$E$5="Metric",3.6,2.23693629)</f>
        <v>#DIV/0!</v>
      </c>
      <c r="AA19" s="67" t="e">
        <f>($AH$22*'Calculation Data &amp; Factors'!$C$12)/Transmission!$AH$8*(2*PI()/60*$U19)*IF('FMTC Main'!$E$5="Metric",3.6,2.23693629)</f>
        <v>#DIV/0!</v>
      </c>
      <c r="AB19" s="67" t="e">
        <f>IF($AH$9="","",($AH$22*'Calculation Data &amp; Factors'!$C$12)/Transmission!$AH$9*(2*PI()/60*$V19)*IF('FMTC Main'!$E$5="Metric",3.6,2.23693629))</f>
        <v>#DIV/0!</v>
      </c>
      <c r="AC19" s="67" t="e">
        <f>IF($AH$10="","",($AH$22*'Calculation Data &amp; Factors'!$C$12)/Transmission!$AH$10*(2*PI()/60*$W19)*IF('FMTC Main'!$E$5="Metric",3.6,2.23693629))</f>
        <v>#DIV/0!</v>
      </c>
      <c r="AE19" s="583" t="s">
        <v>562</v>
      </c>
      <c r="AF19" s="584"/>
      <c r="AG19" s="585"/>
    </row>
    <row r="20" spans="2:36" ht="11.25" customHeight="1">
      <c r="B20" s="55">
        <f>'FMTC Main'!E14</f>
        <v>0</v>
      </c>
      <c r="C20" s="57" t="e">
        <f>(('Calculation Data &amp; Factors'!$A$45)+('Calculation Data &amp; Factors'!$B$45*(2*PI()/60*B20))+('Calculation Data &amp; Factors'!$C$45*(2*PI()/60*B20)^2))/IF('FMTC Main'!$E$5="Metric",1,1.35581795)</f>
        <v>#DIV/0!</v>
      </c>
      <c r="D20" s="56" t="e">
        <f>(('Calculation Data &amp; Factors'!$A$45*(2*PI()/60*B20))+('Calculation Data &amp; Factors'!$B$45*(2*PI()/60*B20)^2)+('Calculation Data &amp; Factors'!$C$45*(2*PI()/60*B20)^3))/IF('FMTC Main'!$E$5="Metric",1000,745.699872)</f>
        <v>#DIV/0!</v>
      </c>
      <c r="E20" s="181" t="e">
        <f>$C20*$AG$5</f>
        <v>#DIV/0!</v>
      </c>
      <c r="F20" s="54" t="e">
        <f t="shared" ref="F20:F28" si="15">$C20*$AG$6</f>
        <v>#DIV/0!</v>
      </c>
      <c r="G20" s="54" t="e">
        <f t="shared" ref="G20:G28" si="16">$C20*$AG$7</f>
        <v>#DIV/0!</v>
      </c>
      <c r="H20" s="54" t="e">
        <f t="shared" ref="H20:H28" si="17">$C20*$AG$8</f>
        <v>#DIV/0!</v>
      </c>
      <c r="I20" s="54" t="e">
        <f t="shared" ref="I20:I28" si="18">IF($AG$9="","",$C20*$AG$9)</f>
        <v>#DIV/0!</v>
      </c>
      <c r="J20" s="54" t="e">
        <f t="shared" ref="J20:J28" si="19">IF($AG$10="","",$C20*$AG$10)</f>
        <v>#DIV/0!</v>
      </c>
      <c r="K20" s="67" t="e">
        <f>($AH$22*'Calculation Data &amp; Factors'!$C$12)/Transmission!$AH$5*(2*PI()/60*Transmission!$B20)*IF('FMTC Main'!$E$5="Metric",3.6,2.23693629)</f>
        <v>#DIV/0!</v>
      </c>
      <c r="L20" s="67" t="e">
        <f>($AH$22*'Calculation Data &amp; Factors'!$C$12)/Transmission!$AH$6*(2*PI()/60*Transmission!$B20)*IF('FMTC Main'!$E$5="Metric",3.6,2.23693629)</f>
        <v>#DIV/0!</v>
      </c>
      <c r="M20" s="67" t="e">
        <f>($AH$22*'Calculation Data &amp; Factors'!$C$12)/Transmission!$AH$7*(2*PI()/60*Transmission!$B20)*IF('FMTC Main'!$E$5="Metric",3.6,2.23693629)</f>
        <v>#DIV/0!</v>
      </c>
      <c r="N20" s="67" t="e">
        <f>($AH$22*'Calculation Data &amp; Factors'!$C$12)/Transmission!$AH$8*(2*PI()/60*Transmission!$B20)*IF('FMTC Main'!$E$5="Metric",3.6,2.23693629)</f>
        <v>#DIV/0!</v>
      </c>
      <c r="O20" s="67" t="e">
        <f>IF($AH$9="","",($AH$22*'Calculation Data &amp; Factors'!$C$12)/Transmission!$AH$9*(2*PI()/60*Transmission!$B20)*IF('FMTC Main'!$E$5="Metric",3.6,2.23693629))</f>
        <v>#DIV/0!</v>
      </c>
      <c r="P20" s="67" t="e">
        <f>IF($AH$10="","",($AH$22*'Calculation Data &amp; Factors'!$C$12)/Transmission!$AH$10*(2*PI()/60*Transmission!$B20)*IF('FMTC Main'!$E$5="Metric",3.6,2.23693629))</f>
        <v>#DIV/0!</v>
      </c>
      <c r="Q20" s="67" t="e">
        <f>($B$20/((IF($AG$3=6,$P20,IF($AG$3=5,$O20,IF($AG$3=4,$N20))))/'Calculation Data &amp; Factors'!$B$11))*($AH$24/IF('FMTC Main'!$E$5="Metric",0.0254,1)/12)*60/5280*($C$20/IF('FMTC Main'!$E$5="Metric",1.35581795,1))/$AG$4*IF('FMTC Main'!$E$5="Metric",1.35581795,1)</f>
        <v>#DIV/0!</v>
      </c>
      <c r="R20" s="70">
        <f t="shared" si="7"/>
        <v>0</v>
      </c>
      <c r="S20" s="70" t="e">
        <f t="shared" si="8"/>
        <v>#DIV/0!</v>
      </c>
      <c r="T20" s="70" t="e">
        <f t="shared" si="9"/>
        <v>#DIV/0!</v>
      </c>
      <c r="U20" s="70" t="e">
        <f t="shared" si="10"/>
        <v>#DIV/0!</v>
      </c>
      <c r="V20" s="70" t="e">
        <f t="shared" si="11"/>
        <v>#DIV/0!</v>
      </c>
      <c r="W20" s="70" t="e">
        <f t="shared" si="12"/>
        <v>#DIV/0!</v>
      </c>
      <c r="X20" s="67" t="e">
        <f>($AH$22*'Calculation Data &amp; Factors'!$C$12)/Transmission!$AH$5*(2*PI()/60*$R20)*IF('FMTC Main'!$E$5="Metric",3.6,2.23693629)</f>
        <v>#DIV/0!</v>
      </c>
      <c r="Y20" s="67" t="e">
        <f>($AH$22*'Calculation Data &amp; Factors'!$C$12)/Transmission!$AH$6*(2*PI()/60*$S20)*IF('FMTC Main'!$E$5="Metric",3.6,2.23693629)</f>
        <v>#DIV/0!</v>
      </c>
      <c r="Z20" s="67" t="e">
        <f>($AH$22*'Calculation Data &amp; Factors'!$C$12)/Transmission!$AH$7*(2*PI()/60*$T20)*IF('FMTC Main'!$E$5="Metric",3.6,2.23693629)</f>
        <v>#DIV/0!</v>
      </c>
      <c r="AA20" s="67" t="e">
        <f>($AH$22*'Calculation Data &amp; Factors'!$C$12)/Transmission!$AH$8*(2*PI()/60*$U20)*IF('FMTC Main'!$E$5="Metric",3.6,2.23693629)</f>
        <v>#DIV/0!</v>
      </c>
      <c r="AB20" s="67" t="e">
        <f>IF($AH$9="","",($AH$22*'Calculation Data &amp; Factors'!$C$12)/Transmission!$AH$9*(2*PI()/60*$V20)*IF('FMTC Main'!$E$5="Metric",3.6,2.23693629))</f>
        <v>#DIV/0!</v>
      </c>
      <c r="AC20" s="67" t="e">
        <f>IF($AH$10="","",($AH$22*'Calculation Data &amp; Factors'!$C$12)/Transmission!$AH$10*(2*PI()/60*$W20)*IF('FMTC Main'!$E$5="Metric",3.6,2.23693629))</f>
        <v>#DIV/0!</v>
      </c>
      <c r="AE20" s="558" t="s">
        <v>557</v>
      </c>
      <c r="AF20" s="559"/>
      <c r="AG20" s="560"/>
      <c r="AH20" s="572" t="str">
        <f>'FMTC Main'!E8</f>
        <v>RWD</v>
      </c>
      <c r="AI20" s="573"/>
    </row>
    <row r="21" spans="2:36" ht="11.25" customHeight="1">
      <c r="B21" s="52">
        <f t="shared" ref="B21:B27" si="20">$B20+(($B$28-$B$20)/8)</f>
        <v>0</v>
      </c>
      <c r="C21" s="53" t="e">
        <f>(('Calculation Data &amp; Factors'!$A$45)+('Calculation Data &amp; Factors'!$B$45*(2*PI()/60*B21))+('Calculation Data &amp; Factors'!$C$45*(2*PI()/60*B21)^2))/IF('FMTC Main'!$E$5="Metric",1,1.35581795)</f>
        <v>#DIV/0!</v>
      </c>
      <c r="D21" s="53" t="e">
        <f>(('Calculation Data &amp; Factors'!$A$45*(2*PI()/60*B21))+('Calculation Data &amp; Factors'!$B$45*(2*PI()/60*B21)^2)+('Calculation Data &amp; Factors'!$C$45*(2*PI()/60*B21)^3))/IF('FMTC Main'!$E$5="Metric",1000,745.699872)</f>
        <v>#DIV/0!</v>
      </c>
      <c r="E21" s="181" t="e">
        <f t="shared" ref="E21:E28" si="21">$C21*$AG$5</f>
        <v>#DIV/0!</v>
      </c>
      <c r="F21" s="54" t="e">
        <f t="shared" si="15"/>
        <v>#DIV/0!</v>
      </c>
      <c r="G21" s="54" t="e">
        <f t="shared" si="16"/>
        <v>#DIV/0!</v>
      </c>
      <c r="H21" s="54" t="e">
        <f t="shared" si="17"/>
        <v>#DIV/0!</v>
      </c>
      <c r="I21" s="54" t="e">
        <f t="shared" si="18"/>
        <v>#DIV/0!</v>
      </c>
      <c r="J21" s="54" t="e">
        <f t="shared" si="19"/>
        <v>#DIV/0!</v>
      </c>
      <c r="K21" s="67" t="e">
        <f>($AH$22*'Calculation Data &amp; Factors'!$C$12)/Transmission!$AH$5*(2*PI()/60*Transmission!$B21)*IF('FMTC Main'!$E$5="Metric",3.6,2.23693629)</f>
        <v>#DIV/0!</v>
      </c>
      <c r="L21" s="67" t="e">
        <f>($AH$22*'Calculation Data &amp; Factors'!$C$12)/Transmission!$AH$6*(2*PI()/60*Transmission!$B21)*IF('FMTC Main'!$E$5="Metric",3.6,2.23693629)</f>
        <v>#DIV/0!</v>
      </c>
      <c r="M21" s="67" t="e">
        <f>($AH$22*'Calculation Data &amp; Factors'!$C$12)/Transmission!$AH$7*(2*PI()/60*Transmission!$B21)*IF('FMTC Main'!$E$5="Metric",3.6,2.23693629)</f>
        <v>#DIV/0!</v>
      </c>
      <c r="N21" s="67" t="e">
        <f>($AH$22*'Calculation Data &amp; Factors'!$C$12)/Transmission!$AH$8*(2*PI()/60*Transmission!$B21)*IF('FMTC Main'!$E$5="Metric",3.6,2.23693629)</f>
        <v>#DIV/0!</v>
      </c>
      <c r="O21" s="67" t="e">
        <f>IF($AH$9="","",($AH$22*'Calculation Data &amp; Factors'!$C$12)/Transmission!$AH$9*(2*PI()/60*Transmission!$B21)*IF('FMTC Main'!$E$5="Metric",3.6,2.23693629))</f>
        <v>#DIV/0!</v>
      </c>
      <c r="P21" s="67" t="e">
        <f>IF($AH$10="","",($AH$22*'Calculation Data &amp; Factors'!$C$12)/Transmission!$AH$10*(2*PI()/60*Transmission!$B21)*IF('FMTC Main'!$E$5="Metric",3.6,2.23693629))</f>
        <v>#DIV/0!</v>
      </c>
      <c r="Q21" s="67" t="e">
        <f>($B$20/((IF($AG$3=6,$P21,IF($AG$3=5,$O21,IF($AG$3=4,$N21))))/'Calculation Data &amp; Factors'!$B$11))*($AH$24/IF('FMTC Main'!$E$5="Metric",0.0254,1)/12)*60/5280*($C$20/IF('FMTC Main'!$E$5="Metric",1.35581795,1))/$AG$4*IF('FMTC Main'!$E$5="Metric",1.35581795,1)</f>
        <v>#DIV/0!</v>
      </c>
      <c r="R21" s="70">
        <f t="shared" si="7"/>
        <v>0</v>
      </c>
      <c r="S21" s="70" t="e">
        <f t="shared" si="8"/>
        <v>#DIV/0!</v>
      </c>
      <c r="T21" s="70" t="e">
        <f t="shared" si="9"/>
        <v>#DIV/0!</v>
      </c>
      <c r="U21" s="70" t="e">
        <f t="shared" si="10"/>
        <v>#DIV/0!</v>
      </c>
      <c r="V21" s="70" t="e">
        <f t="shared" si="11"/>
        <v>#DIV/0!</v>
      </c>
      <c r="W21" s="70" t="e">
        <f t="shared" si="12"/>
        <v>#DIV/0!</v>
      </c>
      <c r="X21" s="67" t="e">
        <f>($AH$22*'Calculation Data &amp; Factors'!$C$12)/Transmission!$AH$5*(2*PI()/60*$R21)*IF('FMTC Main'!$E$5="Metric",3.6,2.23693629)</f>
        <v>#DIV/0!</v>
      </c>
      <c r="Y21" s="67" t="e">
        <f>($AH$22*'Calculation Data &amp; Factors'!$C$12)/Transmission!$AH$6*(2*PI()/60*$S21)*IF('FMTC Main'!$E$5="Metric",3.6,2.23693629)</f>
        <v>#DIV/0!</v>
      </c>
      <c r="Z21" s="67" t="e">
        <f>($AH$22*'Calculation Data &amp; Factors'!$C$12)/Transmission!$AH$7*(2*PI()/60*$T21)*IF('FMTC Main'!$E$5="Metric",3.6,2.23693629)</f>
        <v>#DIV/0!</v>
      </c>
      <c r="AA21" s="67" t="e">
        <f>($AH$22*'Calculation Data &amp; Factors'!$C$12)/Transmission!$AH$8*(2*PI()/60*$U21)*IF('FMTC Main'!$E$5="Metric",3.6,2.23693629)</f>
        <v>#DIV/0!</v>
      </c>
      <c r="AB21" s="67" t="e">
        <f>IF($AH$9="","",($AH$22*'Calculation Data &amp; Factors'!$C$12)/Transmission!$AH$9*(2*PI()/60*$V21)*IF('FMTC Main'!$E$5="Metric",3.6,2.23693629))</f>
        <v>#DIV/0!</v>
      </c>
      <c r="AC21" s="67" t="e">
        <f>IF($AH$10="","",($AH$22*'Calculation Data &amp; Factors'!$C$12)/Transmission!$AH$10*(2*PI()/60*$W21)*IF('FMTC Main'!$E$5="Metric",3.6,2.23693629))</f>
        <v>#DIV/0!</v>
      </c>
      <c r="AE21" s="549" t="s">
        <v>750</v>
      </c>
      <c r="AF21" s="550"/>
      <c r="AG21" s="551"/>
      <c r="AH21" s="47">
        <f>'Tire Dynamics'!Q6*'Calculation Data &amp; Factors'!A13</f>
        <v>0</v>
      </c>
      <c r="AI21" s="16" t="str">
        <f>IF('FMTC Main'!E5="Metric","kg","lbs")</f>
        <v>lbs</v>
      </c>
    </row>
    <row r="22" spans="2:36" ht="11.25" customHeight="1">
      <c r="B22" s="52">
        <f t="shared" si="20"/>
        <v>0</v>
      </c>
      <c r="C22" s="53" t="e">
        <f>(('Calculation Data &amp; Factors'!$A$45)+('Calculation Data &amp; Factors'!$B$45*(2*PI()/60*B22))+('Calculation Data &amp; Factors'!$C$45*(2*PI()/60*B22)^2))/IF('FMTC Main'!$E$5="Metric",1,1.35581795)</f>
        <v>#DIV/0!</v>
      </c>
      <c r="D22" s="53" t="e">
        <f>(('Calculation Data &amp; Factors'!$A$45*(2*PI()/60*B22))+('Calculation Data &amp; Factors'!$B$45*(2*PI()/60*B22)^2)+('Calculation Data &amp; Factors'!$C$45*(2*PI()/60*B22)^3))/IF('FMTC Main'!$E$5="Metric",1000,745.699872)</f>
        <v>#DIV/0!</v>
      </c>
      <c r="E22" s="181" t="e">
        <f t="shared" si="21"/>
        <v>#DIV/0!</v>
      </c>
      <c r="F22" s="54" t="e">
        <f t="shared" si="15"/>
        <v>#DIV/0!</v>
      </c>
      <c r="G22" s="54" t="e">
        <f t="shared" si="16"/>
        <v>#DIV/0!</v>
      </c>
      <c r="H22" s="54" t="e">
        <f t="shared" si="17"/>
        <v>#DIV/0!</v>
      </c>
      <c r="I22" s="54" t="e">
        <f t="shared" si="18"/>
        <v>#DIV/0!</v>
      </c>
      <c r="J22" s="54" t="e">
        <f t="shared" si="19"/>
        <v>#DIV/0!</v>
      </c>
      <c r="K22" s="67" t="e">
        <f>($AH$22*'Calculation Data &amp; Factors'!$C$12)/Transmission!$AH$5*(2*PI()/60*Transmission!$B22)*IF('FMTC Main'!$E$5="Metric",3.6,2.23693629)</f>
        <v>#DIV/0!</v>
      </c>
      <c r="L22" s="67" t="e">
        <f>($AH$22*'Calculation Data &amp; Factors'!$C$12)/Transmission!$AH$6*(2*PI()/60*Transmission!$B22)*IF('FMTC Main'!$E$5="Metric",3.6,2.23693629)</f>
        <v>#DIV/0!</v>
      </c>
      <c r="M22" s="67" t="e">
        <f>($AH$22*'Calculation Data &amp; Factors'!$C$12)/Transmission!$AH$7*(2*PI()/60*Transmission!$B22)*IF('FMTC Main'!$E$5="Metric",3.6,2.23693629)</f>
        <v>#DIV/0!</v>
      </c>
      <c r="N22" s="67" t="e">
        <f>($AH$22*'Calculation Data &amp; Factors'!$C$12)/Transmission!$AH$8*(2*PI()/60*Transmission!$B22)*IF('FMTC Main'!$E$5="Metric",3.6,2.23693629)</f>
        <v>#DIV/0!</v>
      </c>
      <c r="O22" s="67" t="e">
        <f>IF($AH$9="","",($AH$22*'Calculation Data &amp; Factors'!$C$12)/Transmission!$AH$9*(2*PI()/60*Transmission!$B22)*IF('FMTC Main'!$E$5="Metric",3.6,2.23693629))</f>
        <v>#DIV/0!</v>
      </c>
      <c r="P22" s="67" t="e">
        <f>IF($AH$10="","",($AH$22*'Calculation Data &amp; Factors'!$C$12)/Transmission!$AH$10*(2*PI()/60*Transmission!$B22)*IF('FMTC Main'!$E$5="Metric",3.6,2.23693629))</f>
        <v>#DIV/0!</v>
      </c>
      <c r="Q22" s="67" t="e">
        <f>($B$20/((IF($AG$3=6,$P22,IF($AG$3=5,$O22,IF($AG$3=4,$N22))))/'Calculation Data &amp; Factors'!$B$11))*($AH$24/IF('FMTC Main'!$E$5="Metric",0.0254,1)/12)*60/5280*($C$20/IF('FMTC Main'!$E$5="Metric",1.35581795,1))/$AG$4*IF('FMTC Main'!$E$5="Metric",1.35581795,1)</f>
        <v>#DIV/0!</v>
      </c>
      <c r="R22" s="70">
        <f t="shared" si="7"/>
        <v>0</v>
      </c>
      <c r="S22" s="70" t="e">
        <f t="shared" si="8"/>
        <v>#DIV/0!</v>
      </c>
      <c r="T22" s="70" t="e">
        <f t="shared" si="9"/>
        <v>#DIV/0!</v>
      </c>
      <c r="U22" s="70" t="e">
        <f t="shared" si="10"/>
        <v>#DIV/0!</v>
      </c>
      <c r="V22" s="70" t="e">
        <f t="shared" si="11"/>
        <v>#DIV/0!</v>
      </c>
      <c r="W22" s="70" t="e">
        <f t="shared" si="12"/>
        <v>#DIV/0!</v>
      </c>
      <c r="X22" s="67" t="e">
        <f>($AH$22*'Calculation Data &amp; Factors'!$C$12)/Transmission!$AH$5*(2*PI()/60*$R22)*IF('FMTC Main'!$E$5="Metric",3.6,2.23693629)</f>
        <v>#DIV/0!</v>
      </c>
      <c r="Y22" s="67" t="e">
        <f>($AH$22*'Calculation Data &amp; Factors'!$C$12)/Transmission!$AH$6*(2*PI()/60*$S22)*IF('FMTC Main'!$E$5="Metric",3.6,2.23693629)</f>
        <v>#DIV/0!</v>
      </c>
      <c r="Z22" s="67" t="e">
        <f>($AH$22*'Calculation Data &amp; Factors'!$C$12)/Transmission!$AH$7*(2*PI()/60*$T22)*IF('FMTC Main'!$E$5="Metric",3.6,2.23693629)</f>
        <v>#DIV/0!</v>
      </c>
      <c r="AA22" s="67" t="e">
        <f>($AH$22*'Calculation Data &amp; Factors'!$C$12)/Transmission!$AH$8*(2*PI()/60*$U22)*IF('FMTC Main'!$E$5="Metric",3.6,2.23693629)</f>
        <v>#DIV/0!</v>
      </c>
      <c r="AB22" s="67" t="e">
        <f>IF($AH$9="","",($AH$22*'Calculation Data &amp; Factors'!$C$12)/Transmission!$AH$9*(2*PI()/60*$V22)*IF('FMTC Main'!$E$5="Metric",3.6,2.23693629))</f>
        <v>#DIV/0!</v>
      </c>
      <c r="AC22" s="67" t="e">
        <f>IF($AH$10="","",($AH$22*'Calculation Data &amp; Factors'!$C$12)/Transmission!$AH$10*(2*PI()/60*$W22)*IF('FMTC Main'!$E$5="Metric",3.6,2.23693629))</f>
        <v>#DIV/0!</v>
      </c>
      <c r="AE22" s="567" t="s">
        <v>15</v>
      </c>
      <c r="AF22" s="567"/>
      <c r="AG22" s="567"/>
      <c r="AH22" s="23" t="e">
        <f>IF(AH20="FWD",'Tire Dynamics'!D24,IF(AH20="AWD",AVERAGE('Tire Dynamics'!D24,'Tire Dynamics'!J24),'Tire Dynamics'!J24))</f>
        <v>#DIV/0!</v>
      </c>
      <c r="AI22" s="16" t="str">
        <f>IF('FMTC Main'!E5="Metric","m","in")</f>
        <v>in</v>
      </c>
    </row>
    <row r="23" spans="2:36" ht="11.25" customHeight="1">
      <c r="B23" s="52">
        <f t="shared" si="20"/>
        <v>0</v>
      </c>
      <c r="C23" s="53" t="e">
        <f>(('Calculation Data &amp; Factors'!$A$45)+('Calculation Data &amp; Factors'!$B$45*(2*PI()/60*B23))+('Calculation Data &amp; Factors'!$C$45*(2*PI()/60*B23)^2))/IF('FMTC Main'!$E$5="Metric",1,1.35581795)</f>
        <v>#DIV/0!</v>
      </c>
      <c r="D23" s="53" t="e">
        <f>(('Calculation Data &amp; Factors'!$A$45*(2*PI()/60*B23))+('Calculation Data &amp; Factors'!$B$45*(2*PI()/60*B23)^2)+('Calculation Data &amp; Factors'!$C$45*(2*PI()/60*B23)^3))/IF('FMTC Main'!$E$5="Metric",1000,745.699872)</f>
        <v>#DIV/0!</v>
      </c>
      <c r="E23" s="181" t="e">
        <f t="shared" si="21"/>
        <v>#DIV/0!</v>
      </c>
      <c r="F23" s="54" t="e">
        <f t="shared" si="15"/>
        <v>#DIV/0!</v>
      </c>
      <c r="G23" s="54" t="e">
        <f t="shared" si="16"/>
        <v>#DIV/0!</v>
      </c>
      <c r="H23" s="54" t="e">
        <f t="shared" si="17"/>
        <v>#DIV/0!</v>
      </c>
      <c r="I23" s="54" t="e">
        <f t="shared" si="18"/>
        <v>#DIV/0!</v>
      </c>
      <c r="J23" s="54" t="e">
        <f t="shared" si="19"/>
        <v>#DIV/0!</v>
      </c>
      <c r="K23" s="67" t="e">
        <f>($AH$22*'Calculation Data &amp; Factors'!$C$12)/Transmission!$AH$5*(2*PI()/60*Transmission!$B23)*IF('FMTC Main'!$E$5="Metric",3.6,2.23693629)</f>
        <v>#DIV/0!</v>
      </c>
      <c r="L23" s="67" t="e">
        <f>($AH$22*'Calculation Data &amp; Factors'!$C$12)/Transmission!$AH$6*(2*PI()/60*Transmission!$B23)*IF('FMTC Main'!$E$5="Metric",3.6,2.23693629)</f>
        <v>#DIV/0!</v>
      </c>
      <c r="M23" s="67" t="e">
        <f>($AH$22*'Calculation Data &amp; Factors'!$C$12)/Transmission!$AH$7*(2*PI()/60*Transmission!$B23)*IF('FMTC Main'!$E$5="Metric",3.6,2.23693629)</f>
        <v>#DIV/0!</v>
      </c>
      <c r="N23" s="67" t="e">
        <f>($AH$22*'Calculation Data &amp; Factors'!$C$12)/Transmission!$AH$8*(2*PI()/60*Transmission!$B23)*IF('FMTC Main'!$E$5="Metric",3.6,2.23693629)</f>
        <v>#DIV/0!</v>
      </c>
      <c r="O23" s="67" t="e">
        <f>IF($AH$9="","",($AH$22*'Calculation Data &amp; Factors'!$C$12)/Transmission!$AH$9*(2*PI()/60*Transmission!$B23)*IF('FMTC Main'!$E$5="Metric",3.6,2.23693629))</f>
        <v>#DIV/0!</v>
      </c>
      <c r="P23" s="67" t="e">
        <f>IF($AH$10="","",($AH$22*'Calculation Data &amp; Factors'!$C$12)/Transmission!$AH$10*(2*PI()/60*Transmission!$B23)*IF('FMTC Main'!$E$5="Metric",3.6,2.23693629))</f>
        <v>#DIV/0!</v>
      </c>
      <c r="Q23" s="67" t="e">
        <f>($B$20/((IF($AG$3=6,$P23,IF($AG$3=5,$O23,IF($AG$3=4,$N23))))/'Calculation Data &amp; Factors'!$B$11))*($AH$24/IF('FMTC Main'!$E$5="Metric",0.0254,1)/12)*60/5280*($C$20/IF('FMTC Main'!$E$5="Metric",1.35581795,1))/$AG$4*IF('FMTC Main'!$E$5="Metric",1.35581795,1)</f>
        <v>#DIV/0!</v>
      </c>
      <c r="R23" s="70">
        <f t="shared" si="7"/>
        <v>0</v>
      </c>
      <c r="S23" s="70" t="e">
        <f t="shared" si="8"/>
        <v>#DIV/0!</v>
      </c>
      <c r="T23" s="70" t="e">
        <f t="shared" si="9"/>
        <v>#DIV/0!</v>
      </c>
      <c r="U23" s="70" t="e">
        <f t="shared" si="10"/>
        <v>#DIV/0!</v>
      </c>
      <c r="V23" s="70" t="e">
        <f t="shared" si="11"/>
        <v>#DIV/0!</v>
      </c>
      <c r="W23" s="70" t="e">
        <f t="shared" si="12"/>
        <v>#DIV/0!</v>
      </c>
      <c r="X23" s="67" t="e">
        <f>($AH$22*'Calculation Data &amp; Factors'!$C$12)/Transmission!$AH$5*(2*PI()/60*$R23)*IF('FMTC Main'!$E$5="Metric",3.6,2.23693629)</f>
        <v>#DIV/0!</v>
      </c>
      <c r="Y23" s="67" t="e">
        <f>($AH$22*'Calculation Data &amp; Factors'!$C$12)/Transmission!$AH$6*(2*PI()/60*$S23)*IF('FMTC Main'!$E$5="Metric",3.6,2.23693629)</f>
        <v>#DIV/0!</v>
      </c>
      <c r="Z23" s="67" t="e">
        <f>($AH$22*'Calculation Data &amp; Factors'!$C$12)/Transmission!$AH$7*(2*PI()/60*$T23)*IF('FMTC Main'!$E$5="Metric",3.6,2.23693629)</f>
        <v>#DIV/0!</v>
      </c>
      <c r="AA23" s="67" t="e">
        <f>($AH$22*'Calculation Data &amp; Factors'!$C$12)/Transmission!$AH$8*(2*PI()/60*$U23)*IF('FMTC Main'!$E$5="Metric",3.6,2.23693629)</f>
        <v>#DIV/0!</v>
      </c>
      <c r="AB23" s="67" t="e">
        <f>IF($AH$9="","",($AH$22*'Calculation Data &amp; Factors'!$C$12)/Transmission!$AH$9*(2*PI()/60*$V23)*IF('FMTC Main'!$E$5="Metric",3.6,2.23693629))</f>
        <v>#DIV/0!</v>
      </c>
      <c r="AC23" s="67" t="e">
        <f>IF($AH$10="","",($AH$22*'Calculation Data &amp; Factors'!$C$12)/Transmission!$AH$10*(2*PI()/60*$W23)*IF('FMTC Main'!$E$5="Metric",3.6,2.23693629))</f>
        <v>#DIV/0!</v>
      </c>
      <c r="AE23" s="567" t="s">
        <v>18</v>
      </c>
      <c r="AF23" s="567"/>
      <c r="AG23" s="567"/>
      <c r="AH23" s="24" t="e">
        <f>AH22*2</f>
        <v>#DIV/0!</v>
      </c>
      <c r="AI23" s="16" t="str">
        <f>IF('FMTC Main'!E5="Metric","m","in")</f>
        <v>in</v>
      </c>
    </row>
    <row r="24" spans="2:36" ht="11.25" customHeight="1">
      <c r="B24" s="52">
        <f t="shared" si="20"/>
        <v>0</v>
      </c>
      <c r="C24" s="53" t="e">
        <f>(('Calculation Data &amp; Factors'!$A$45)+('Calculation Data &amp; Factors'!$B$45*(2*PI()/60*B24))+('Calculation Data &amp; Factors'!$C$45*(2*PI()/60*B24)^2))/IF('FMTC Main'!$E$5="Metric",1,1.35581795)</f>
        <v>#DIV/0!</v>
      </c>
      <c r="D24" s="53" t="e">
        <f>(('Calculation Data &amp; Factors'!$A$45*(2*PI()/60*B24))+('Calculation Data &amp; Factors'!$B$45*(2*PI()/60*B24)^2)+('Calculation Data &amp; Factors'!$C$45*(2*PI()/60*B24)^3))/IF('FMTC Main'!$E$5="Metric",1000,745.699872)</f>
        <v>#DIV/0!</v>
      </c>
      <c r="E24" s="181" t="e">
        <f t="shared" si="21"/>
        <v>#DIV/0!</v>
      </c>
      <c r="F24" s="54" t="e">
        <f t="shared" si="15"/>
        <v>#DIV/0!</v>
      </c>
      <c r="G24" s="54" t="e">
        <f t="shared" si="16"/>
        <v>#DIV/0!</v>
      </c>
      <c r="H24" s="54" t="e">
        <f t="shared" si="17"/>
        <v>#DIV/0!</v>
      </c>
      <c r="I24" s="54" t="e">
        <f t="shared" si="18"/>
        <v>#DIV/0!</v>
      </c>
      <c r="J24" s="54" t="e">
        <f t="shared" si="19"/>
        <v>#DIV/0!</v>
      </c>
      <c r="K24" s="67" t="e">
        <f>($AH$22*'Calculation Data &amp; Factors'!$C$12)/Transmission!$AH$5*(2*PI()/60*Transmission!$B24)*IF('FMTC Main'!$E$5="Metric",3.6,2.23693629)</f>
        <v>#DIV/0!</v>
      </c>
      <c r="L24" s="67" t="e">
        <f>($AH$22*'Calculation Data &amp; Factors'!$C$12)/Transmission!$AH$6*(2*PI()/60*Transmission!$B24)*IF('FMTC Main'!$E$5="Metric",3.6,2.23693629)</f>
        <v>#DIV/0!</v>
      </c>
      <c r="M24" s="67" t="e">
        <f>($AH$22*'Calculation Data &amp; Factors'!$C$12)/Transmission!$AH$7*(2*PI()/60*Transmission!$B24)*IF('FMTC Main'!$E$5="Metric",3.6,2.23693629)</f>
        <v>#DIV/0!</v>
      </c>
      <c r="N24" s="67" t="e">
        <f>($AH$22*'Calculation Data &amp; Factors'!$C$12)/Transmission!$AH$8*(2*PI()/60*Transmission!$B24)*IF('FMTC Main'!$E$5="Metric",3.6,2.23693629)</f>
        <v>#DIV/0!</v>
      </c>
      <c r="O24" s="67" t="e">
        <f>IF($AH$9="","",($AH$22*'Calculation Data &amp; Factors'!$C$12)/Transmission!$AH$9*(2*PI()/60*Transmission!$B24)*IF('FMTC Main'!$E$5="Metric",3.6,2.23693629))</f>
        <v>#DIV/0!</v>
      </c>
      <c r="P24" s="67" t="e">
        <f>IF($AH$10="","",($AH$22*'Calculation Data &amp; Factors'!$C$12)/Transmission!$AH$10*(2*PI()/60*Transmission!$B24)*IF('FMTC Main'!$E$5="Metric",3.6,2.23693629))</f>
        <v>#DIV/0!</v>
      </c>
      <c r="Q24" s="67" t="e">
        <f>($B$20/((IF($AG$3=6,$P24,IF($AG$3=5,$O24,IF($AG$3=4,$N24))))/'Calculation Data &amp; Factors'!$B$11))*($AH$24/IF('FMTC Main'!$E$5="Metric",0.0254,1)/12)*60/5280*($C$20/IF('FMTC Main'!$E$5="Metric",1.35581795,1))/$AG$4*IF('FMTC Main'!$E$5="Metric",1.35581795,1)</f>
        <v>#DIV/0!</v>
      </c>
      <c r="R24" s="70">
        <f t="shared" si="7"/>
        <v>0</v>
      </c>
      <c r="S24" s="70" t="e">
        <f t="shared" si="8"/>
        <v>#DIV/0!</v>
      </c>
      <c r="T24" s="70" t="e">
        <f t="shared" si="9"/>
        <v>#DIV/0!</v>
      </c>
      <c r="U24" s="70" t="e">
        <f t="shared" si="10"/>
        <v>#DIV/0!</v>
      </c>
      <c r="V24" s="70" t="e">
        <f t="shared" si="11"/>
        <v>#DIV/0!</v>
      </c>
      <c r="W24" s="70" t="e">
        <f t="shared" si="12"/>
        <v>#DIV/0!</v>
      </c>
      <c r="X24" s="67" t="e">
        <f>($AH$22*'Calculation Data &amp; Factors'!$C$12)/Transmission!$AH$5*(2*PI()/60*$R24)*IF('FMTC Main'!$E$5="Metric",3.6,2.23693629)</f>
        <v>#DIV/0!</v>
      </c>
      <c r="Y24" s="67" t="e">
        <f>($AH$22*'Calculation Data &amp; Factors'!$C$12)/Transmission!$AH$6*(2*PI()/60*$S24)*IF('FMTC Main'!$E$5="Metric",3.6,2.23693629)</f>
        <v>#DIV/0!</v>
      </c>
      <c r="Z24" s="67" t="e">
        <f>($AH$22*'Calculation Data &amp; Factors'!$C$12)/Transmission!$AH$7*(2*PI()/60*$T24)*IF('FMTC Main'!$E$5="Metric",3.6,2.23693629)</f>
        <v>#DIV/0!</v>
      </c>
      <c r="AA24" s="67" t="e">
        <f>($AH$22*'Calculation Data &amp; Factors'!$C$12)/Transmission!$AH$8*(2*PI()/60*$U24)*IF('FMTC Main'!$E$5="Metric",3.6,2.23693629)</f>
        <v>#DIV/0!</v>
      </c>
      <c r="AB24" s="67" t="e">
        <f>IF($AH$9="","",($AH$22*'Calculation Data &amp; Factors'!$C$12)/Transmission!$AH$9*(2*PI()/60*$V24)*IF('FMTC Main'!$E$5="Metric",3.6,2.23693629))</f>
        <v>#DIV/0!</v>
      </c>
      <c r="AC24" s="67" t="e">
        <f>IF($AH$10="","",($AH$22*'Calculation Data &amp; Factors'!$C$12)/Transmission!$AH$10*(2*PI()/60*$W24)*IF('FMTC Main'!$E$5="Metric",3.6,2.23693629))</f>
        <v>#DIV/0!</v>
      </c>
      <c r="AE24" s="567" t="s">
        <v>19</v>
      </c>
      <c r="AF24" s="567"/>
      <c r="AG24" s="567"/>
      <c r="AH24" s="24" t="e">
        <f>AH23*PI()</f>
        <v>#DIV/0!</v>
      </c>
      <c r="AI24" s="16" t="str">
        <f>IF('FMTC Main'!E5="Metric","m","in")</f>
        <v>in</v>
      </c>
    </row>
    <row r="25" spans="2:36" ht="11.25" customHeight="1">
      <c r="B25" s="52">
        <f t="shared" si="20"/>
        <v>0</v>
      </c>
      <c r="C25" s="53" t="e">
        <f>(('Calculation Data &amp; Factors'!$A$45)+('Calculation Data &amp; Factors'!$B$45*(2*PI()/60*B25))+('Calculation Data &amp; Factors'!$C$45*(2*PI()/60*B25)^2))/IF('FMTC Main'!$E$5="Metric",1,1.35581795)</f>
        <v>#DIV/0!</v>
      </c>
      <c r="D25" s="53" t="e">
        <f>(('Calculation Data &amp; Factors'!$A$45*(2*PI()/60*B25))+('Calculation Data &amp; Factors'!$B$45*(2*PI()/60*B25)^2)+('Calculation Data &amp; Factors'!$C$45*(2*PI()/60*B25)^3))/IF('FMTC Main'!$E$5="Metric",1000,745.699872)</f>
        <v>#DIV/0!</v>
      </c>
      <c r="E25" s="181" t="e">
        <f t="shared" si="21"/>
        <v>#DIV/0!</v>
      </c>
      <c r="F25" s="54" t="e">
        <f t="shared" si="15"/>
        <v>#DIV/0!</v>
      </c>
      <c r="G25" s="54" t="e">
        <f t="shared" si="16"/>
        <v>#DIV/0!</v>
      </c>
      <c r="H25" s="54" t="e">
        <f t="shared" si="17"/>
        <v>#DIV/0!</v>
      </c>
      <c r="I25" s="54" t="e">
        <f t="shared" si="18"/>
        <v>#DIV/0!</v>
      </c>
      <c r="J25" s="54" t="e">
        <f t="shared" si="19"/>
        <v>#DIV/0!</v>
      </c>
      <c r="K25" s="67" t="e">
        <f>($AH$22*'Calculation Data &amp; Factors'!$C$12)/Transmission!$AH$5*(2*PI()/60*Transmission!$B25)*IF('FMTC Main'!$E$5="Metric",3.6,2.23693629)</f>
        <v>#DIV/0!</v>
      </c>
      <c r="L25" s="67" t="e">
        <f>($AH$22*'Calculation Data &amp; Factors'!$C$12)/Transmission!$AH$6*(2*PI()/60*Transmission!$B25)*IF('FMTC Main'!$E$5="Metric",3.6,2.23693629)</f>
        <v>#DIV/0!</v>
      </c>
      <c r="M25" s="67" t="e">
        <f>($AH$22*'Calculation Data &amp; Factors'!$C$12)/Transmission!$AH$7*(2*PI()/60*Transmission!$B25)*IF('FMTC Main'!$E$5="Metric",3.6,2.23693629)</f>
        <v>#DIV/0!</v>
      </c>
      <c r="N25" s="67" t="e">
        <f>($AH$22*'Calculation Data &amp; Factors'!$C$12)/Transmission!$AH$8*(2*PI()/60*Transmission!$B25)*IF('FMTC Main'!$E$5="Metric",3.6,2.23693629)</f>
        <v>#DIV/0!</v>
      </c>
      <c r="O25" s="67" t="e">
        <f>IF($AH$9="","",($AH$22*'Calculation Data &amp; Factors'!$C$12)/Transmission!$AH$9*(2*PI()/60*Transmission!$B25)*IF('FMTC Main'!$E$5="Metric",3.6,2.23693629))</f>
        <v>#DIV/0!</v>
      </c>
      <c r="P25" s="67" t="e">
        <f>IF($AH$10="","",($AH$22*'Calculation Data &amp; Factors'!$C$12)/Transmission!$AH$10*(2*PI()/60*Transmission!$B25)*IF('FMTC Main'!$E$5="Metric",3.6,2.23693629))</f>
        <v>#DIV/0!</v>
      </c>
      <c r="Q25" s="67" t="e">
        <f>($B$20/((IF($AG$3=6,$P25,IF($AG$3=5,$O25,IF($AG$3=4,$N25))))/'Calculation Data &amp; Factors'!$B$11))*($AH$24/IF('FMTC Main'!$E$5="Metric",0.0254,1)/12)*60/5280*($C$20/IF('FMTC Main'!$E$5="Metric",1.35581795,1))/$AG$4*IF('FMTC Main'!$E$5="Metric",1.35581795,1)</f>
        <v>#DIV/0!</v>
      </c>
      <c r="R25" s="70">
        <f t="shared" si="7"/>
        <v>0</v>
      </c>
      <c r="S25" s="70" t="e">
        <f t="shared" si="8"/>
        <v>#DIV/0!</v>
      </c>
      <c r="T25" s="70" t="e">
        <f t="shared" si="9"/>
        <v>#DIV/0!</v>
      </c>
      <c r="U25" s="70" t="e">
        <f t="shared" si="10"/>
        <v>#DIV/0!</v>
      </c>
      <c r="V25" s="70" t="e">
        <f t="shared" si="11"/>
        <v>#DIV/0!</v>
      </c>
      <c r="W25" s="70" t="e">
        <f t="shared" si="12"/>
        <v>#DIV/0!</v>
      </c>
      <c r="X25" s="67" t="e">
        <f>($AH$22*'Calculation Data &amp; Factors'!$C$12)/Transmission!$AH$5*(2*PI()/60*$R25)*IF('FMTC Main'!$E$5="Metric",3.6,2.23693629)</f>
        <v>#DIV/0!</v>
      </c>
      <c r="Y25" s="67" t="e">
        <f>($AH$22*'Calculation Data &amp; Factors'!$C$12)/Transmission!$AH$6*(2*PI()/60*$S25)*IF('FMTC Main'!$E$5="Metric",3.6,2.23693629)</f>
        <v>#DIV/0!</v>
      </c>
      <c r="Z25" s="67" t="e">
        <f>($AH$22*'Calculation Data &amp; Factors'!$C$12)/Transmission!$AH$7*(2*PI()/60*$T25)*IF('FMTC Main'!$E$5="Metric",3.6,2.23693629)</f>
        <v>#DIV/0!</v>
      </c>
      <c r="AA25" s="67" t="e">
        <f>($AH$22*'Calculation Data &amp; Factors'!$C$12)/Transmission!$AH$8*(2*PI()/60*$U25)*IF('FMTC Main'!$E$5="Metric",3.6,2.23693629)</f>
        <v>#DIV/0!</v>
      </c>
      <c r="AB25" s="67" t="e">
        <f>IF($AH$9="","",($AH$22*'Calculation Data &amp; Factors'!$C$12)/Transmission!$AH$9*(2*PI()/60*$V25)*IF('FMTC Main'!$E$5="Metric",3.6,2.23693629))</f>
        <v>#DIV/0!</v>
      </c>
      <c r="AC25" s="67" t="e">
        <f>IF($AH$10="","",($AH$22*'Calculation Data &amp; Factors'!$C$12)/Transmission!$AH$10*(2*PI()/60*$W25)*IF('FMTC Main'!$E$5="Metric",3.6,2.23693629))</f>
        <v>#DIV/0!</v>
      </c>
      <c r="AE25" s="549" t="s">
        <v>621</v>
      </c>
      <c r="AF25" s="550"/>
      <c r="AG25" s="551"/>
      <c r="AH25" s="107" t="e">
        <f>(D20*IF('FMTC Main'!E5="Metric",1.341,1))/('FMTC Main'!E11*IF('FMTC Main'!E5="Metric",0.00110231131,0.0005))</f>
        <v>#DIV/0!</v>
      </c>
      <c r="AI25" s="105" t="str">
        <f>"bhp/ton"</f>
        <v>bhp/ton</v>
      </c>
    </row>
    <row r="26" spans="2:36" ht="11.25" customHeight="1">
      <c r="B26" s="52">
        <f t="shared" si="20"/>
        <v>0</v>
      </c>
      <c r="C26" s="53" t="e">
        <f>(('Calculation Data &amp; Factors'!$A$45)+('Calculation Data &amp; Factors'!$B$45*(2*PI()/60*B26))+('Calculation Data &amp; Factors'!$C$45*(2*PI()/60*B26)^2))/IF('FMTC Main'!$E$5="Metric",1,1.35581795)</f>
        <v>#DIV/0!</v>
      </c>
      <c r="D26" s="53" t="e">
        <f>(('Calculation Data &amp; Factors'!$A$45*(2*PI()/60*B26))+('Calculation Data &amp; Factors'!$B$45*(2*PI()/60*B26)^2)+('Calculation Data &amp; Factors'!$C$45*(2*PI()/60*B26)^3))/IF('FMTC Main'!$E$5="Metric",1000,745.699872)</f>
        <v>#DIV/0!</v>
      </c>
      <c r="E26" s="181" t="e">
        <f t="shared" si="21"/>
        <v>#DIV/0!</v>
      </c>
      <c r="F26" s="54" t="e">
        <f t="shared" si="15"/>
        <v>#DIV/0!</v>
      </c>
      <c r="G26" s="54" t="e">
        <f t="shared" si="16"/>
        <v>#DIV/0!</v>
      </c>
      <c r="H26" s="54" t="e">
        <f t="shared" si="17"/>
        <v>#DIV/0!</v>
      </c>
      <c r="I26" s="54" t="e">
        <f t="shared" si="18"/>
        <v>#DIV/0!</v>
      </c>
      <c r="J26" s="54" t="e">
        <f t="shared" si="19"/>
        <v>#DIV/0!</v>
      </c>
      <c r="K26" s="67" t="e">
        <f>($AH$22*'Calculation Data &amp; Factors'!$C$12)/Transmission!$AH$5*(2*PI()/60*Transmission!$B26)*IF('FMTC Main'!$E$5="Metric",3.6,2.23693629)</f>
        <v>#DIV/0!</v>
      </c>
      <c r="L26" s="67" t="e">
        <f>($AH$22*'Calculation Data &amp; Factors'!$C$12)/Transmission!$AH$6*(2*PI()/60*Transmission!$B26)*IF('FMTC Main'!$E$5="Metric",3.6,2.23693629)</f>
        <v>#DIV/0!</v>
      </c>
      <c r="M26" s="67" t="e">
        <f>($AH$22*'Calculation Data &amp; Factors'!$C$12)/Transmission!$AH$7*(2*PI()/60*Transmission!$B26)*IF('FMTC Main'!$E$5="Metric",3.6,2.23693629)</f>
        <v>#DIV/0!</v>
      </c>
      <c r="N26" s="67" t="e">
        <f>($AH$22*'Calculation Data &amp; Factors'!$C$12)/Transmission!$AH$8*(2*PI()/60*Transmission!$B26)*IF('FMTC Main'!$E$5="Metric",3.6,2.23693629)</f>
        <v>#DIV/0!</v>
      </c>
      <c r="O26" s="67" t="e">
        <f>IF($AH$9="","",($AH$22*'Calculation Data &amp; Factors'!$C$12)/Transmission!$AH$9*(2*PI()/60*Transmission!$B26)*IF('FMTC Main'!$E$5="Metric",3.6,2.23693629))</f>
        <v>#DIV/0!</v>
      </c>
      <c r="P26" s="67" t="e">
        <f>IF($AH$10="","",($AH$22*'Calculation Data &amp; Factors'!$C$12)/Transmission!$AH$10*(2*PI()/60*Transmission!$B26)*IF('FMTC Main'!$E$5="Metric",3.6,2.23693629))</f>
        <v>#DIV/0!</v>
      </c>
      <c r="Q26" s="67" t="e">
        <f>($B$20/((IF($AG$3=6,$P26,IF($AG$3=5,$O26,IF($AG$3=4,$N26))))/'Calculation Data &amp; Factors'!$B$11))*($AH$24/IF('FMTC Main'!$E$5="Metric",0.0254,1)/12)*60/5280*($C$20/IF('FMTC Main'!$E$5="Metric",1.35581795,1))/$AG$4*IF('FMTC Main'!$E$5="Metric",1.35581795,1)</f>
        <v>#DIV/0!</v>
      </c>
      <c r="R26" s="70">
        <f t="shared" si="7"/>
        <v>0</v>
      </c>
      <c r="S26" s="70" t="e">
        <f t="shared" si="8"/>
        <v>#DIV/0!</v>
      </c>
      <c r="T26" s="70" t="e">
        <f t="shared" si="9"/>
        <v>#DIV/0!</v>
      </c>
      <c r="U26" s="70" t="e">
        <f t="shared" si="10"/>
        <v>#DIV/0!</v>
      </c>
      <c r="V26" s="70" t="e">
        <f t="shared" si="11"/>
        <v>#DIV/0!</v>
      </c>
      <c r="W26" s="70" t="e">
        <f t="shared" si="12"/>
        <v>#DIV/0!</v>
      </c>
      <c r="X26" s="67" t="e">
        <f>($AH$22*'Calculation Data &amp; Factors'!$C$12)/Transmission!$AH$5*(2*PI()/60*$R26)*IF('FMTC Main'!$E$5="Metric",3.6,2.23693629)</f>
        <v>#DIV/0!</v>
      </c>
      <c r="Y26" s="67" t="e">
        <f>($AH$22*'Calculation Data &amp; Factors'!$C$12)/Transmission!$AH$6*(2*PI()/60*$S26)*IF('FMTC Main'!$E$5="Metric",3.6,2.23693629)</f>
        <v>#DIV/0!</v>
      </c>
      <c r="Z26" s="67" t="e">
        <f>($AH$22*'Calculation Data &amp; Factors'!$C$12)/Transmission!$AH$7*(2*PI()/60*$T26)*IF('FMTC Main'!$E$5="Metric",3.6,2.23693629)</f>
        <v>#DIV/0!</v>
      </c>
      <c r="AA26" s="67" t="e">
        <f>($AH$22*'Calculation Data &amp; Factors'!$C$12)/Transmission!$AH$8*(2*PI()/60*$U26)*IF('FMTC Main'!$E$5="Metric",3.6,2.23693629)</f>
        <v>#DIV/0!</v>
      </c>
      <c r="AB26" s="67" t="e">
        <f>IF($AH$9="","",($AH$22*'Calculation Data &amp; Factors'!$C$12)/Transmission!$AH$9*(2*PI()/60*$V26)*IF('FMTC Main'!$E$5="Metric",3.6,2.23693629))</f>
        <v>#DIV/0!</v>
      </c>
      <c r="AC26" s="67" t="e">
        <f>IF($AH$10="","",($AH$22*'Calculation Data &amp; Factors'!$C$12)/Transmission!$AH$10*(2*PI()/60*$W26)*IF('FMTC Main'!$E$5="Metric",3.6,2.23693629))</f>
        <v>#DIV/0!</v>
      </c>
      <c r="AE26" s="567" t="s">
        <v>748</v>
      </c>
      <c r="AF26" s="567"/>
      <c r="AG26" s="567"/>
      <c r="AH26" s="47" t="e">
        <f>(Transmission!D20*IF('FMTC Main'!E5="Metric",1.341,1))/'FMTC Main'!E13</f>
        <v>#DIV/0!</v>
      </c>
      <c r="AI26" s="16" t="str">
        <f>"bhp/L"</f>
        <v>bhp/L</v>
      </c>
    </row>
    <row r="27" spans="2:36" s="74" customFormat="1" ht="11.25" customHeight="1">
      <c r="B27" s="52">
        <f t="shared" si="20"/>
        <v>0</v>
      </c>
      <c r="C27" s="53" t="e">
        <f>(('Calculation Data &amp; Factors'!$A$45)+('Calculation Data &amp; Factors'!$B$45*(2*PI()/60*B27))+('Calculation Data &amp; Factors'!$C$45*(2*PI()/60*B27)^2))/IF('FMTC Main'!$E$5="Metric",1,1.35581795)</f>
        <v>#DIV/0!</v>
      </c>
      <c r="D27" s="53" t="e">
        <f>(('Calculation Data &amp; Factors'!$A$45*(2*PI()/60*B27))+('Calculation Data &amp; Factors'!$B$45*(2*PI()/60*B27)^2)+('Calculation Data &amp; Factors'!$C$45*(2*PI()/60*B27)^3))/IF('FMTC Main'!$E$5="Metric",1000,745.699872)</f>
        <v>#DIV/0!</v>
      </c>
      <c r="E27" s="181" t="e">
        <f t="shared" si="21"/>
        <v>#DIV/0!</v>
      </c>
      <c r="F27" s="54" t="e">
        <f t="shared" si="15"/>
        <v>#DIV/0!</v>
      </c>
      <c r="G27" s="54" t="e">
        <f t="shared" si="16"/>
        <v>#DIV/0!</v>
      </c>
      <c r="H27" s="54" t="e">
        <f t="shared" si="17"/>
        <v>#DIV/0!</v>
      </c>
      <c r="I27" s="54" t="e">
        <f t="shared" si="18"/>
        <v>#DIV/0!</v>
      </c>
      <c r="J27" s="54" t="e">
        <f t="shared" si="19"/>
        <v>#DIV/0!</v>
      </c>
      <c r="K27" s="67" t="e">
        <f>($AH$22*'Calculation Data &amp; Factors'!$C$12)/Transmission!$AH$5*(2*PI()/60*Transmission!$B27)*IF('FMTC Main'!$E$5="Metric",3.6,2.23693629)</f>
        <v>#DIV/0!</v>
      </c>
      <c r="L27" s="67" t="e">
        <f>($AH$22*'Calculation Data &amp; Factors'!$C$12)/Transmission!$AH$6*(2*PI()/60*Transmission!$B27)*IF('FMTC Main'!$E$5="Metric",3.6,2.23693629)</f>
        <v>#DIV/0!</v>
      </c>
      <c r="M27" s="67" t="e">
        <f>($AH$22*'Calculation Data &amp; Factors'!$C$12)/Transmission!$AH$7*(2*PI()/60*Transmission!$B27)*IF('FMTC Main'!$E$5="Metric",3.6,2.23693629)</f>
        <v>#DIV/0!</v>
      </c>
      <c r="N27" s="67" t="e">
        <f>($AH$22*'Calculation Data &amp; Factors'!$C$12)/Transmission!$AH$8*(2*PI()/60*Transmission!$B27)*IF('FMTC Main'!$E$5="Metric",3.6,2.23693629)</f>
        <v>#DIV/0!</v>
      </c>
      <c r="O27" s="67" t="e">
        <f>IF($AH$9="","",($AH$22*'Calculation Data &amp; Factors'!$C$12)/Transmission!$AH$9*(2*PI()/60*Transmission!$B27)*IF('FMTC Main'!$E$5="Metric",3.6,2.23693629))</f>
        <v>#DIV/0!</v>
      </c>
      <c r="P27" s="67" t="e">
        <f>IF($AH$10="","",($AH$22*'Calculation Data &amp; Factors'!$C$12)/Transmission!$AH$10*(2*PI()/60*Transmission!$B27)*IF('FMTC Main'!$E$5="Metric",3.6,2.23693629))</f>
        <v>#DIV/0!</v>
      </c>
      <c r="Q27" s="67" t="e">
        <f>($B$20/((IF($AG$3=6,$P27,IF($AG$3=5,$O27,IF($AG$3=4,$N27))))/'Calculation Data &amp; Factors'!$B$11))*($AH$24/IF('FMTC Main'!$E$5="Metric",0.0254,1)/12)*60/5280*($C$20/IF('FMTC Main'!$E$5="Metric",1.35581795,1))/$AG$4*IF('FMTC Main'!$E$5="Metric",1.35581795,1)</f>
        <v>#DIV/0!</v>
      </c>
      <c r="R27" s="70">
        <f t="shared" si="7"/>
        <v>0</v>
      </c>
      <c r="S27" s="70" t="e">
        <f t="shared" si="8"/>
        <v>#DIV/0!</v>
      </c>
      <c r="T27" s="70" t="e">
        <f t="shared" si="9"/>
        <v>#DIV/0!</v>
      </c>
      <c r="U27" s="70" t="e">
        <f t="shared" si="10"/>
        <v>#DIV/0!</v>
      </c>
      <c r="V27" s="70" t="e">
        <f t="shared" si="11"/>
        <v>#DIV/0!</v>
      </c>
      <c r="W27" s="70" t="e">
        <f t="shared" si="12"/>
        <v>#DIV/0!</v>
      </c>
      <c r="X27" s="67" t="e">
        <f>($AH$22*'Calculation Data &amp; Factors'!$C$12)/Transmission!$AH$5*(2*PI()/60*$R27)*IF('FMTC Main'!$E$5="Metric",3.6,2.23693629)</f>
        <v>#DIV/0!</v>
      </c>
      <c r="Y27" s="67" t="e">
        <f>($AH$22*'Calculation Data &amp; Factors'!$C$12)/Transmission!$AH$6*(2*PI()/60*$S27)*IF('FMTC Main'!$E$5="Metric",3.6,2.23693629)</f>
        <v>#DIV/0!</v>
      </c>
      <c r="Z27" s="67" t="e">
        <f>($AH$22*'Calculation Data &amp; Factors'!$C$12)/Transmission!$AH$7*(2*PI()/60*$T27)*IF('FMTC Main'!$E$5="Metric",3.6,2.23693629)</f>
        <v>#DIV/0!</v>
      </c>
      <c r="AA27" s="67" t="e">
        <f>($AH$22*'Calculation Data &amp; Factors'!$C$12)/Transmission!$AH$8*(2*PI()/60*$U27)*IF('FMTC Main'!$E$5="Metric",3.6,2.23693629)</f>
        <v>#DIV/0!</v>
      </c>
      <c r="AB27" s="67" t="e">
        <f>IF($AH$9="","",($AH$22*'Calculation Data &amp; Factors'!$C$12)/Transmission!$AH$9*(2*PI()/60*$V27)*IF('FMTC Main'!$E$5="Metric",3.6,2.23693629))</f>
        <v>#DIV/0!</v>
      </c>
      <c r="AC27" s="67" t="e">
        <f>IF($AH$10="","",($AH$22*'Calculation Data &amp; Factors'!$C$12)/Transmission!$AH$10*(2*PI()/60*$W27)*IF('FMTC Main'!$E$5="Metric",3.6,2.23693629))</f>
        <v>#DIV/0!</v>
      </c>
      <c r="AE27" s="567" t="s">
        <v>749</v>
      </c>
      <c r="AF27" s="567"/>
      <c r="AG27" s="567"/>
      <c r="AH27" s="47" t="e">
        <f>(Transmission!C12*IF('FMTC Main'!$E$5="Metric",1,1.35581795))/'FMTC Main'!E13</f>
        <v>#DIV/0!</v>
      </c>
      <c r="AI27" s="16" t="str">
        <f>"Nm/L"</f>
        <v>Nm/L</v>
      </c>
    </row>
    <row r="28" spans="2:36" ht="11.25" customHeight="1">
      <c r="B28" s="55">
        <f>'FMTC Main'!E16</f>
        <v>0</v>
      </c>
      <c r="C28" s="57" t="e">
        <f>(('Calculation Data &amp; Factors'!$A$45)+('Calculation Data &amp; Factors'!$B$45*(2*PI()/60*B28))+('Calculation Data &amp; Factors'!$C$45*(2*PI()/60*B28)^2))/IF('FMTC Main'!$E$5="Metric",1,1.35581795)</f>
        <v>#DIV/0!</v>
      </c>
      <c r="D28" s="57" t="e">
        <f>(('Calculation Data &amp; Factors'!$A$45*(2*PI()/60*B28))+('Calculation Data &amp; Factors'!$B$45*(2*PI()/60*B28)^2)+('Calculation Data &amp; Factors'!$C$45*(2*PI()/60*B28)^3))/IF('FMTC Main'!$E$5="Metric",1000,745.699872)</f>
        <v>#DIV/0!</v>
      </c>
      <c r="E28" s="181" t="e">
        <f t="shared" si="21"/>
        <v>#DIV/0!</v>
      </c>
      <c r="F28" s="54" t="e">
        <f t="shared" si="15"/>
        <v>#DIV/0!</v>
      </c>
      <c r="G28" s="54" t="e">
        <f t="shared" si="16"/>
        <v>#DIV/0!</v>
      </c>
      <c r="H28" s="54" t="e">
        <f t="shared" si="17"/>
        <v>#DIV/0!</v>
      </c>
      <c r="I28" s="54" t="e">
        <f t="shared" si="18"/>
        <v>#DIV/0!</v>
      </c>
      <c r="J28" s="54" t="e">
        <f t="shared" si="19"/>
        <v>#DIV/0!</v>
      </c>
      <c r="K28" s="67" t="e">
        <f>($AH$22*'Calculation Data &amp; Factors'!$C$12)/Transmission!$AH$5*(2*PI()/60*Transmission!$B28)*IF('FMTC Main'!$E$5="Metric",3.6,2.23693629)</f>
        <v>#DIV/0!</v>
      </c>
      <c r="L28" s="67" t="e">
        <f>($AH$22*'Calculation Data &amp; Factors'!$C$12)/Transmission!$AH$6*(2*PI()/60*Transmission!$B28)*IF('FMTC Main'!$E$5="Metric",3.6,2.23693629)</f>
        <v>#DIV/0!</v>
      </c>
      <c r="M28" s="67" t="e">
        <f>($AH$22*'Calculation Data &amp; Factors'!$C$12)/Transmission!$AH$7*(2*PI()/60*Transmission!$B28)*IF('FMTC Main'!$E$5="Metric",3.6,2.23693629)</f>
        <v>#DIV/0!</v>
      </c>
      <c r="N28" s="67" t="e">
        <f>($AH$22*'Calculation Data &amp; Factors'!$C$12)/Transmission!$AH$8*(2*PI()/60*Transmission!$B28)*IF('FMTC Main'!$E$5="Metric",3.6,2.23693629)</f>
        <v>#DIV/0!</v>
      </c>
      <c r="O28" s="67" t="e">
        <f>IF($AH$9="","",($AH$22*'Calculation Data &amp; Factors'!$C$12)/Transmission!$AH$9*(2*PI()/60*Transmission!$B28)*IF('FMTC Main'!$E$5="Metric",3.6,2.23693629))</f>
        <v>#DIV/0!</v>
      </c>
      <c r="P28" s="67" t="e">
        <f>IF($AH$10="","",($AH$22*'Calculation Data &amp; Factors'!$C$12)/Transmission!$AH$10*(2*PI()/60*Transmission!$B28)*IF('FMTC Main'!$E$5="Metric",3.6,2.23693629))</f>
        <v>#DIV/0!</v>
      </c>
      <c r="Q28" s="67" t="e">
        <f>($B$20/((IF($AG$3=6,$P28,IF($AG$3=5,$O28,IF($AG$3=4,$N28))))/'Calculation Data &amp; Factors'!$B$11))*($AH$24/IF('FMTC Main'!$E$5="Metric",0.0254,1)/12)*60/5280*($C$20/IF('FMTC Main'!$E$5="Metric",1.35581795,1))/$AG$4*IF('FMTC Main'!$E$5="Metric",1.35581795,1)</f>
        <v>#DIV/0!</v>
      </c>
      <c r="R28" s="76">
        <f>'FMTC Main'!E16</f>
        <v>0</v>
      </c>
      <c r="S28" s="77">
        <f>'FMTC Main'!E16</f>
        <v>0</v>
      </c>
      <c r="T28" s="77">
        <f>'FMTC Main'!E16</f>
        <v>0</v>
      </c>
      <c r="U28" s="77">
        <f>'FMTC Main'!E16</f>
        <v>0</v>
      </c>
      <c r="V28" s="77" t="e">
        <f>IF($AG$9="","",'FMTC Main'!E16)</f>
        <v>#DIV/0!</v>
      </c>
      <c r="W28" s="78">
        <f>IF($AG$10="","",'FMTC Main'!E16)</f>
        <v>0</v>
      </c>
      <c r="X28" s="67" t="e">
        <f>($AH$22*'Calculation Data &amp; Factors'!$C$12)/Transmission!$AH$5*(2*PI()/60*$R28)*IF('FMTC Main'!$E$5="Metric",3.6,2.23693629)</f>
        <v>#DIV/0!</v>
      </c>
      <c r="Y28" s="67" t="e">
        <f>($AH$22*'Calculation Data &amp; Factors'!$C$12)/Transmission!$AH$6*(2*PI()/60*$S28)*IF('FMTC Main'!$E$5="Metric",3.6,2.23693629)</f>
        <v>#DIV/0!</v>
      </c>
      <c r="Z28" s="67" t="e">
        <f>($AH$22*'Calculation Data &amp; Factors'!$C$12)/Transmission!$AH$7*(2*PI()/60*$T28)*IF('FMTC Main'!$E$5="Metric",3.6,2.23693629)</f>
        <v>#DIV/0!</v>
      </c>
      <c r="AA28" s="67" t="e">
        <f>($AH$22*'Calculation Data &amp; Factors'!$C$12)/Transmission!$AH$8*(2*PI()/60*$U28)*IF('FMTC Main'!$E$5="Metric",3.6,2.23693629)</f>
        <v>#DIV/0!</v>
      </c>
      <c r="AB28" s="67" t="e">
        <f>IF($AH$9="","",($AH$22*'Calculation Data &amp; Factors'!$C$12)/Transmission!$AH$9*(2*PI()/60*$V28)*IF('FMTC Main'!$E$5="Metric",3.6,2.23693629))</f>
        <v>#DIV/0!</v>
      </c>
      <c r="AC28" s="67" t="e">
        <f>IF($AH$10="","",($AH$22*'Calculation Data &amp; Factors'!$C$12)/Transmission!$AH$10*(2*PI()/60*$W28)*IF('FMTC Main'!$E$5="Metric",3.6,2.23693629))</f>
        <v>#DIV/0!</v>
      </c>
      <c r="AE28" s="549" t="s">
        <v>763</v>
      </c>
      <c r="AF28" s="550"/>
      <c r="AG28" s="551"/>
      <c r="AH28" s="47" t="e">
        <f>(150.8 *((Transmission!C12/IF('FMTC Main'!E5="Metric",1.35581795,1))/('FMTC Main'!E13* 61.0237)))*IF('FMTC Main'!E5="Metric",0.0689475729,1)</f>
        <v>#DIV/0!</v>
      </c>
      <c r="AI28" s="16" t="str">
        <f>IF('FMTC Main'!E5="Metric","bar","psi")</f>
        <v>psi</v>
      </c>
    </row>
    <row r="29" spans="2:36" ht="11.25" customHeight="1" thickBot="1">
      <c r="E29" s="80"/>
      <c r="F29" s="80"/>
      <c r="G29" s="80"/>
      <c r="H29" s="80"/>
      <c r="I29" s="80"/>
      <c r="J29" s="80"/>
      <c r="K29" s="79"/>
      <c r="Q29" s="58"/>
      <c r="R29" s="59"/>
      <c r="AE29" s="186"/>
      <c r="AF29" s="186"/>
      <c r="AG29" s="187"/>
      <c r="AH29" s="188"/>
      <c r="AI29" s="189"/>
    </row>
    <row r="30" spans="2:36" ht="11.25" customHeight="1">
      <c r="G30" s="11"/>
      <c r="H30" s="11"/>
      <c r="I30" s="11"/>
      <c r="J30" s="11"/>
      <c r="K30" s="11"/>
      <c r="O30" s="59"/>
      <c r="Q30" s="58"/>
      <c r="AE30" s="552" t="s">
        <v>555</v>
      </c>
      <c r="AF30" s="553"/>
      <c r="AG30" s="554"/>
    </row>
    <row r="31" spans="2:36" ht="11.25" customHeight="1">
      <c r="J31" s="59"/>
      <c r="M31" s="74"/>
      <c r="Q31" s="58"/>
      <c r="AE31" s="558" t="s">
        <v>63</v>
      </c>
      <c r="AF31" s="559"/>
      <c r="AG31" s="560"/>
      <c r="AH31" s="115" t="str">
        <f>IF('FMTC Main'!E34="","",'FMTC Main'!E34)</f>
        <v/>
      </c>
      <c r="AI31" s="116" t="str">
        <f>IF('FMTC Main'!E5="Metric","km/h","mph")</f>
        <v>mph</v>
      </c>
    </row>
    <row r="32" spans="2:36" ht="11.25" customHeight="1">
      <c r="J32" s="59"/>
      <c r="M32" s="74"/>
      <c r="Q32" s="58"/>
      <c r="AE32" s="549" t="s">
        <v>745</v>
      </c>
      <c r="AF32" s="550"/>
      <c r="AG32" s="551"/>
      <c r="AH32" s="47" t="e">
        <f>($AH$22*'Calculation Data &amp; Factors'!$C$12)/(AG4*AH38)*(2*PI()/60*B28)*IF('FMTC Main'!$E$5="Metric",3.6,2.23693629)</f>
        <v>#DIV/0!</v>
      </c>
      <c r="AI32" s="48" t="str">
        <f>IF('FMTC Main'!E5="Metric","km/h","mph")</f>
        <v>mph</v>
      </c>
    </row>
    <row r="33" spans="5:35" ht="11.25" customHeight="1">
      <c r="O33" s="59"/>
      <c r="Q33" s="58"/>
      <c r="AE33" s="549" t="s">
        <v>6</v>
      </c>
      <c r="AF33" s="550"/>
      <c r="AG33" s="551"/>
      <c r="AH33" s="47" t="e">
        <f xml:space="preserve"> (234 *(('Calculation Data &amp; Factors'!B44*IF('FMTC Main'!E5="Metric",1.341022,1))/('FMTC Main'!E11*'Calculation Data &amp; Factors'!A11))^(1/3))*'Calculation Data &amp; Factors'!B11</f>
        <v>#DIV/0!</v>
      </c>
      <c r="AI33" s="48" t="str">
        <f>IF('FMTC Main'!E5="Metric","km/h","mph")</f>
        <v>mph</v>
      </c>
    </row>
    <row r="34" spans="5:35" ht="11.25" customHeight="1">
      <c r="AE34" s="549" t="s">
        <v>401</v>
      </c>
      <c r="AF34" s="550"/>
      <c r="AG34" s="551"/>
      <c r="AH34" s="586" t="e">
        <f>((('FMTC Main'!E11*'Calculation Data &amp; Factors'!A11)/('Calculation Data &amp; Factors'!B44*IF('FMTC Main'!E5="Metric",1.341022,1)))^(1/3))*5.825</f>
        <v>#DIV/0!</v>
      </c>
      <c r="AI34" s="587"/>
    </row>
    <row r="35" spans="5:35" ht="11.25" customHeight="1">
      <c r="AE35" s="549" t="s">
        <v>560</v>
      </c>
      <c r="AF35" s="550"/>
      <c r="AG35" s="551"/>
      <c r="AH35" s="586" t="e">
        <f>((('FMTC Main'!E11*'Calculation Data &amp; Factors'!A11)/('Calculation Data &amp; Factors'!B44*IF('FMTC Main'!E5="Metric",1.341022,1)))^(1/3))*5.825/1.5832</f>
        <v>#DIV/0!</v>
      </c>
      <c r="AI35" s="587"/>
    </row>
    <row r="36" spans="5:35" ht="11.25" customHeight="1">
      <c r="AE36" s="549" t="s">
        <v>402</v>
      </c>
      <c r="AF36" s="550"/>
      <c r="AG36" s="551"/>
      <c r="AH36" s="87" t="e">
        <f>10084/(AH22/IF('FMTC Main'!$E$5="Metric",0.0254,1))</f>
        <v>#DIV/0!</v>
      </c>
    </row>
    <row r="37" spans="5:35" ht="11.25" customHeight="1">
      <c r="AE37" s="549" t="s">
        <v>8</v>
      </c>
      <c r="AF37" s="550"/>
      <c r="AG37" s="551"/>
      <c r="AH37" s="45" t="e">
        <f>MROUND(IF(((AH24/IF('FMTC Main'!E5="Metric",0.0254,1))*60*'FMTC Main'!E16)/((AH33/'Calculation Data &amp; Factors'!B11)*12*5280)&gt;6.1,6.1,((AH24/IF('FMTC Main'!E5="Metric",0.0254,1))*60*'FMTC Main'!E16)/((AH33/'Calculation Data &amp; Factors'!B11)*12*5280)),0.01)</f>
        <v>#DIV/0!</v>
      </c>
    </row>
    <row r="38" spans="5:35" ht="11.25" customHeight="1">
      <c r="V38" s="81"/>
      <c r="AE38" s="549" t="s">
        <v>7</v>
      </c>
      <c r="AF38" s="550"/>
      <c r="AG38" s="551"/>
      <c r="AH38" s="190">
        <f>MROUND(IF(AH31="",0.8,((AH22*'Calculation Data &amp; Factors'!C12)/AG4)*((2*PI()/60*B28)/(AH31/IF('FMTC Main'!$E$5="Metric",3.6,2.23693629)))),0.01)</f>
        <v>0.8</v>
      </c>
    </row>
    <row r="39" spans="5:35" ht="11.25" customHeight="1">
      <c r="AE39" s="549" t="s">
        <v>13</v>
      </c>
      <c r="AF39" s="550"/>
      <c r="AG39" s="551"/>
      <c r="AH39" s="46" t="e">
        <f>AG4*AG5</f>
        <v>#DIV/0!</v>
      </c>
    </row>
    <row r="40" spans="5:35" ht="11.25" customHeight="1" thickBot="1"/>
    <row r="41" spans="5:35" ht="11.25" customHeight="1">
      <c r="AE41" s="571" t="s">
        <v>65</v>
      </c>
      <c r="AF41" s="571"/>
      <c r="AG41" s="571"/>
      <c r="AH41" s="571"/>
    </row>
    <row r="42" spans="5:35" ht="11.25" customHeight="1">
      <c r="AE42" s="86" t="e">
        <f>(INDEX(LINEST(C4:C12,B4:B12,AF42),1))</f>
        <v>#VALUE!</v>
      </c>
      <c r="AF42" s="86" t="e">
        <f>(INDEX(LINEST(C4:C12,B4:B12,FALSE),2))</f>
        <v>#VALUE!</v>
      </c>
      <c r="AG42" s="86" t="e">
        <f>(INDEX(LINEST(C12:C28,B12:B28,AH42),1))</f>
        <v>#VALUE!</v>
      </c>
      <c r="AH42" s="86" t="e">
        <f>(INDEX(LINEST(C12:C28,B12:B28,TRUE),2))</f>
        <v>#VALUE!</v>
      </c>
    </row>
    <row r="43" spans="5:35" ht="11.25" customHeight="1">
      <c r="AI43" s="83"/>
    </row>
    <row r="44" spans="5:35" ht="11.25" customHeight="1">
      <c r="AE44" s="582" t="str">
        <f>"Dynamometer Values"</f>
        <v>Dynamometer Values</v>
      </c>
      <c r="AF44" s="582"/>
      <c r="AG44" s="582"/>
      <c r="AH44" s="582"/>
      <c r="AI44" s="82"/>
    </row>
    <row r="45" spans="5:35" ht="11.25" customHeight="1">
      <c r="AE45" s="568" t="str">
        <f>IF('FMTC Main'!$E$5="Metric","Torque (N-m)","Torque (lb-ft)")</f>
        <v>Torque (lb-ft)</v>
      </c>
      <c r="AF45" s="569"/>
      <c r="AG45" s="569" t="str">
        <f>IF('FMTC Main'!$E$5="Metric","Power (kW)","Power (hp)")</f>
        <v>Power (hp)</v>
      </c>
      <c r="AH45" s="570"/>
    </row>
    <row r="46" spans="5:35" ht="11.25" customHeight="1">
      <c r="AE46" s="193">
        <v>0</v>
      </c>
      <c r="AF46" s="193" t="e">
        <f>MAX(C4:D28)</f>
        <v>#DIV/0!</v>
      </c>
      <c r="AG46" s="70">
        <v>0</v>
      </c>
      <c r="AH46" s="193" t="e">
        <f>MAX(C4:D28)</f>
        <v>#DIV/0!</v>
      </c>
    </row>
    <row r="47" spans="5:35" s="83" customFormat="1" ht="11.25" customHeight="1">
      <c r="E47" s="82"/>
      <c r="F47" s="17"/>
      <c r="G47" s="82"/>
      <c r="H47" s="17"/>
      <c r="AI47" s="82"/>
    </row>
    <row r="48" spans="5:35" s="82" customFormat="1" ht="11.25" customHeight="1">
      <c r="G48" s="154"/>
      <c r="V48" s="150"/>
    </row>
    <row r="49" spans="2:31" s="82" customFormat="1" ht="11.25" customHeight="1">
      <c r="F49" s="151"/>
      <c r="G49" s="183"/>
      <c r="H49" s="184"/>
      <c r="I49" s="146"/>
      <c r="L49" s="185"/>
      <c r="M49" s="145"/>
      <c r="O49" s="145"/>
      <c r="P49" s="145"/>
    </row>
    <row r="50" spans="2:31" s="82" customFormat="1" ht="11.25" customHeight="1">
      <c r="D50" s="143"/>
      <c r="G50" s="146"/>
      <c r="I50" s="149"/>
      <c r="M50" s="185"/>
      <c r="N50" s="147"/>
      <c r="O50" s="145"/>
      <c r="P50" s="145"/>
      <c r="Q50" s="145"/>
    </row>
    <row r="51" spans="2:31" s="82" customFormat="1" ht="11.25" customHeight="1">
      <c r="E51" s="152"/>
      <c r="I51" s="153"/>
      <c r="J51" s="153"/>
      <c r="L51" s="153"/>
      <c r="M51" s="153"/>
      <c r="N51" s="153"/>
      <c r="O51" s="145"/>
      <c r="P51" s="145"/>
      <c r="Q51" s="145"/>
    </row>
    <row r="52" spans="2:31" s="82" customFormat="1" ht="11.25" customHeight="1">
      <c r="D52" s="148"/>
      <c r="E52" s="148"/>
      <c r="F52" s="148"/>
      <c r="L52" s="145"/>
      <c r="M52" s="145"/>
      <c r="N52" s="145"/>
      <c r="O52" s="145"/>
      <c r="P52" s="145"/>
      <c r="Q52" s="145"/>
    </row>
    <row r="53" spans="2:31" s="82" customFormat="1" ht="11.25" customHeight="1">
      <c r="D53" s="148"/>
      <c r="E53" s="148"/>
      <c r="F53" s="148"/>
      <c r="L53" s="145"/>
      <c r="M53" s="145"/>
      <c r="N53" s="145"/>
      <c r="O53" s="145"/>
      <c r="P53" s="145"/>
      <c r="Q53" s="145"/>
    </row>
    <row r="54" spans="2:31" s="82" customFormat="1" ht="11.25" customHeight="1">
      <c r="B54" s="149"/>
      <c r="D54" s="148"/>
      <c r="E54" s="148"/>
      <c r="F54" s="148"/>
      <c r="L54" s="145"/>
      <c r="M54" s="145"/>
      <c r="N54" s="145"/>
      <c r="O54" s="145"/>
      <c r="P54" s="145"/>
      <c r="Q54" s="145"/>
    </row>
    <row r="55" spans="2:31" s="82" customFormat="1" ht="11.25" customHeight="1">
      <c r="B55" s="148"/>
      <c r="D55" s="148"/>
      <c r="E55" s="148"/>
      <c r="F55" s="148"/>
      <c r="L55" s="145"/>
      <c r="M55" s="145"/>
      <c r="N55" s="145"/>
      <c r="O55" s="145"/>
      <c r="P55" s="145"/>
      <c r="Q55" s="145"/>
    </row>
    <row r="56" spans="2:31" s="82" customFormat="1" ht="11.25" customHeight="1">
      <c r="B56" s="148"/>
      <c r="D56" s="148"/>
      <c r="E56" s="148"/>
      <c r="F56" s="148"/>
      <c r="L56" s="145"/>
      <c r="M56" s="145"/>
      <c r="N56" s="145"/>
      <c r="O56" s="145"/>
      <c r="P56" s="145"/>
      <c r="Q56" s="145"/>
    </row>
    <row r="57" spans="2:31" s="82" customFormat="1" ht="11.25" customHeight="1">
      <c r="B57" s="148"/>
      <c r="D57" s="148"/>
      <c r="E57" s="148"/>
      <c r="F57" s="148"/>
      <c r="L57" s="145"/>
      <c r="M57" s="145"/>
      <c r="N57" s="145"/>
      <c r="O57" s="145"/>
      <c r="P57" s="145"/>
      <c r="Q57" s="145"/>
      <c r="AC57" s="148"/>
      <c r="AD57" s="148"/>
    </row>
    <row r="58" spans="2:31" s="82" customFormat="1" ht="11.25" customHeight="1">
      <c r="B58" s="148"/>
      <c r="D58" s="148"/>
      <c r="E58" s="148"/>
      <c r="F58" s="148"/>
      <c r="AC58" s="148"/>
      <c r="AD58" s="148"/>
      <c r="AE58" s="148"/>
    </row>
    <row r="59" spans="2:31" s="148" customFormat="1" ht="11.25" customHeight="1">
      <c r="O59" s="143"/>
    </row>
    <row r="60" spans="2:31" s="148" customFormat="1" ht="11.25" customHeight="1">
      <c r="O60" s="143"/>
    </row>
    <row r="61" spans="2:31" s="148" customFormat="1" ht="11.25" customHeight="1">
      <c r="O61" s="143"/>
    </row>
    <row r="62" spans="2:31" s="148" customFormat="1" ht="11.25" customHeight="1">
      <c r="O62" s="143"/>
    </row>
    <row r="63" spans="2:31" s="148" customFormat="1" ht="11.25" customHeight="1">
      <c r="N63" s="143"/>
    </row>
    <row r="64" spans="2:31" s="148" customFormat="1" ht="11.25" customHeight="1">
      <c r="O64" s="143"/>
    </row>
    <row r="65" spans="2:35" s="148" customFormat="1" ht="11.25" customHeight="1">
      <c r="Q65" s="143"/>
      <c r="AE65" s="58"/>
      <c r="AF65" s="58"/>
    </row>
    <row r="66" spans="2:35" s="148" customFormat="1" ht="11.25" customHeight="1">
      <c r="Q66" s="143"/>
      <c r="AE66" s="58"/>
      <c r="AF66" s="58"/>
    </row>
    <row r="67" spans="2:35" s="148" customFormat="1" ht="11.25" customHeight="1">
      <c r="Q67" s="143"/>
      <c r="AE67" s="58"/>
      <c r="AF67" s="58"/>
      <c r="AG67" s="58"/>
    </row>
    <row r="68" spans="2:35" s="148" customFormat="1" ht="11.25" customHeight="1">
      <c r="Q68" s="143"/>
      <c r="AE68" s="58"/>
      <c r="AF68" s="58"/>
      <c r="AG68" s="58"/>
      <c r="AH68" s="58"/>
      <c r="AI68" s="58"/>
    </row>
    <row r="69" spans="2:35" s="148" customFormat="1" ht="11.25" customHeight="1">
      <c r="Q69" s="143"/>
      <c r="AE69" s="58"/>
      <c r="AF69" s="58"/>
      <c r="AG69" s="58"/>
      <c r="AH69" s="58"/>
      <c r="AI69" s="58"/>
    </row>
    <row r="70" spans="2:35" s="148" customFormat="1" ht="11.25" customHeight="1">
      <c r="Q70" s="143"/>
      <c r="AE70" s="58"/>
      <c r="AF70" s="58"/>
      <c r="AG70" s="58"/>
      <c r="AH70" s="58"/>
      <c r="AI70" s="58"/>
    </row>
    <row r="71" spans="2:35" s="148" customFormat="1" ht="11.25" customHeight="1">
      <c r="Q71" s="143"/>
      <c r="AE71" s="58"/>
      <c r="AF71" s="58"/>
      <c r="AG71" s="58"/>
      <c r="AH71" s="58"/>
      <c r="AI71" s="58"/>
    </row>
    <row r="72" spans="2:35" ht="11.25" customHeight="1">
      <c r="B72" s="82"/>
      <c r="C72" s="82"/>
      <c r="D72" s="17"/>
    </row>
    <row r="73" spans="2:35" ht="11.25" customHeight="1">
      <c r="B73" s="17"/>
      <c r="C73" s="83"/>
      <c r="D73" s="17"/>
    </row>
    <row r="74" spans="2:35" ht="11.25" customHeight="1">
      <c r="B74" s="82"/>
      <c r="C74" s="82"/>
      <c r="D74" s="83"/>
    </row>
    <row r="75" spans="2:35" ht="11.25" customHeight="1">
      <c r="B75" s="82"/>
      <c r="C75" s="82"/>
      <c r="D75" s="82"/>
    </row>
    <row r="76" spans="2:35" ht="11.25" customHeight="1">
      <c r="B76" s="83"/>
      <c r="C76" s="83"/>
      <c r="D76" s="83"/>
    </row>
    <row r="77" spans="2:35" ht="11.25" customHeight="1">
      <c r="B77" s="83"/>
      <c r="C77" s="83"/>
      <c r="D77" s="83"/>
    </row>
    <row r="78" spans="2:35" ht="11.25" customHeight="1">
      <c r="B78" s="83"/>
      <c r="C78" s="83"/>
      <c r="D78" s="83"/>
    </row>
    <row r="79" spans="2:35" ht="11.25" customHeight="1">
      <c r="B79" s="83"/>
      <c r="C79" s="83"/>
      <c r="D79" s="83"/>
    </row>
    <row r="80" spans="2:35" ht="11.25" customHeight="1">
      <c r="B80" s="83"/>
      <c r="C80" s="83"/>
      <c r="D80" s="83"/>
    </row>
    <row r="81" spans="2:4" ht="11.25" customHeight="1">
      <c r="B81" s="83"/>
      <c r="C81" s="83"/>
      <c r="D81" s="83"/>
    </row>
    <row r="82" spans="2:4" ht="11.25" customHeight="1">
      <c r="B82" s="83"/>
      <c r="C82" s="83"/>
      <c r="D82" s="83"/>
    </row>
    <row r="83" spans="2:4" ht="11.25" customHeight="1">
      <c r="B83" s="83"/>
      <c r="C83" s="83"/>
      <c r="D83" s="83"/>
    </row>
  </sheetData>
  <sheetProtection sheet="1" objects="1" scenarios="1" selectLockedCells="1"/>
  <mergeCells count="49">
    <mergeCell ref="AE9:AF9"/>
    <mergeCell ref="AE36:AG36"/>
    <mergeCell ref="AE19:AG19"/>
    <mergeCell ref="AE10:AF10"/>
    <mergeCell ref="AH35:AI35"/>
    <mergeCell ref="AH34:AI34"/>
    <mergeCell ref="AE24:AG24"/>
    <mergeCell ref="AE20:AG20"/>
    <mergeCell ref="AE22:AG22"/>
    <mergeCell ref="AE45:AF45"/>
    <mergeCell ref="AG45:AH45"/>
    <mergeCell ref="AE41:AH41"/>
    <mergeCell ref="AH20:AI20"/>
    <mergeCell ref="K2:P2"/>
    <mergeCell ref="Q2:Q3"/>
    <mergeCell ref="AE2:AI2"/>
    <mergeCell ref="AH4:AI4"/>
    <mergeCell ref="AH15:AI15"/>
    <mergeCell ref="AE44:AH44"/>
    <mergeCell ref="AE35:AG35"/>
    <mergeCell ref="AE31:AG31"/>
    <mergeCell ref="AE21:AG21"/>
    <mergeCell ref="AE27:AG27"/>
    <mergeCell ref="AE26:AG26"/>
    <mergeCell ref="AE38:AG38"/>
    <mergeCell ref="AE39:AG39"/>
    <mergeCell ref="AE33:AG33"/>
    <mergeCell ref="AE30:AG30"/>
    <mergeCell ref="B2:D2"/>
    <mergeCell ref="AE4:AF4"/>
    <mergeCell ref="AE32:AG32"/>
    <mergeCell ref="AE34:AG34"/>
    <mergeCell ref="AE7:AF7"/>
    <mergeCell ref="AE13:AG13"/>
    <mergeCell ref="AE12:AG12"/>
    <mergeCell ref="AE37:AG37"/>
    <mergeCell ref="AE25:AG25"/>
    <mergeCell ref="AE28:AG28"/>
    <mergeCell ref="AE15:AG15"/>
    <mergeCell ref="AE23:AG23"/>
    <mergeCell ref="AE8:AF8"/>
    <mergeCell ref="A1:E1"/>
    <mergeCell ref="AE6:AF6"/>
    <mergeCell ref="AE3:AF3"/>
    <mergeCell ref="E2:J2"/>
    <mergeCell ref="X2:AC2"/>
    <mergeCell ref="AE5:AF5"/>
    <mergeCell ref="R2:W2"/>
    <mergeCell ref="AE1:AI1"/>
  </mergeCells>
  <dataValidations count="1">
    <dataValidation type="list" allowBlank="1" showInputMessage="1" showErrorMessage="1" sqref="AH15:AI15">
      <formula1>ShiftPointList</formula1>
    </dataValidation>
  </dataValidations>
  <printOptions horizontalCentered="1" verticalCentered="1"/>
  <pageMargins left="0.74791666666666701" right="0.74791666666666701" top="0.98402777777777795" bottom="0.98402777777777795" header="0.51180555555555596" footer="0.51180555555555596"/>
  <pageSetup scale="54" firstPageNumber="0" orientation="landscape" horizontalDpi="4294967292" verticalDpi="4294967292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O51"/>
  <sheetViews>
    <sheetView showGridLines="0" workbookViewId="0">
      <selection activeCell="K9" sqref="K9:O9"/>
    </sheetView>
  </sheetViews>
  <sheetFormatPr defaultColWidth="6.5703125" defaultRowHeight="11.25" customHeight="1"/>
  <cols>
    <col min="1" max="10" width="6.5703125" style="22"/>
    <col min="11" max="11" width="6.5703125" style="22" customWidth="1"/>
    <col min="12" max="16384" width="6.5703125" style="22"/>
  </cols>
  <sheetData>
    <row r="1" spans="1:15" ht="11.25" customHeight="1">
      <c r="A1" s="588" t="s">
        <v>780</v>
      </c>
      <c r="B1" s="589"/>
      <c r="C1" s="589"/>
      <c r="D1" s="589"/>
    </row>
    <row r="2" spans="1:15" ht="11.25" customHeight="1" thickBot="1">
      <c r="B2" s="509" t="s">
        <v>634</v>
      </c>
      <c r="C2" s="509"/>
      <c r="D2" s="509"/>
      <c r="E2" s="509"/>
      <c r="F2" s="509"/>
      <c r="G2" s="509"/>
      <c r="H2" s="509"/>
      <c r="I2" s="509"/>
      <c r="K2" s="509" t="s">
        <v>70</v>
      </c>
      <c r="L2" s="509"/>
      <c r="M2" s="509"/>
      <c r="N2" s="509"/>
      <c r="O2" s="509"/>
    </row>
    <row r="3" spans="1:15" ht="11.25" customHeight="1" thickTop="1"/>
    <row r="4" spans="1:15" ht="11.25" customHeight="1">
      <c r="B4" s="590" t="s">
        <v>16</v>
      </c>
      <c r="C4" s="591"/>
      <c r="D4" s="60" t="s">
        <v>9</v>
      </c>
      <c r="E4" s="61" t="s">
        <v>10</v>
      </c>
      <c r="F4" s="61" t="s">
        <v>11</v>
      </c>
      <c r="G4" s="61" t="s">
        <v>12</v>
      </c>
      <c r="H4" s="61" t="str">
        <f>IF(Transmission!AB3="","","5th")</f>
        <v>5th</v>
      </c>
      <c r="I4" s="64" t="str">
        <f>IF(Transmission!AC3="","","6th")</f>
        <v>6th</v>
      </c>
      <c r="K4" s="596" t="s">
        <v>746</v>
      </c>
      <c r="L4" s="597"/>
      <c r="M4" s="598"/>
    </row>
    <row r="5" spans="1:15" ht="11.25" customHeight="1">
      <c r="B5" s="594" t="str">
        <f>"Top Speed"&amp;" "&amp;IF('FMTC Main'!E5="Metric","(km/h)","(mph)")</f>
        <v>Top Speed (mph)</v>
      </c>
      <c r="C5" s="595"/>
      <c r="D5" s="54" t="e">
        <f>Transmission!X28</f>
        <v>#DIV/0!</v>
      </c>
      <c r="E5" s="54" t="e">
        <f>Transmission!Y28</f>
        <v>#DIV/0!</v>
      </c>
      <c r="F5" s="54" t="e">
        <f>Transmission!Z28</f>
        <v>#DIV/0!</v>
      </c>
      <c r="G5" s="54" t="e">
        <f>IF(AND(Transmission!AH31="",Transmission!AG3=4),Transmission!AA28,IF(AND(Transmission!AH31&gt;1,Transmission!AG3=4),Transmission!AH31,Transmission!AA28))</f>
        <v>#DIV/0!</v>
      </c>
      <c r="H5" s="54" t="e">
        <f>IF(AND(Transmission!AH31="",Transmission!AG3=5),Transmission!AB28,IF(AND(Transmission!AH31&gt;1,Transmission!AG3=5),Transmission!AH31,Transmission!AB28))</f>
        <v>#DIV/0!</v>
      </c>
      <c r="I5" s="54" t="e">
        <f>IF(AND(Transmission!AH31="",Transmission!AG3=6),Transmission!AC8,IF(AND(Transmission!AH31&gt;1,Transmission!AG3=6),Transmission!AH31,Transmission!AC8))</f>
        <v>#DIV/0!</v>
      </c>
      <c r="K5" s="481" t="s">
        <v>644</v>
      </c>
      <c r="L5" s="484"/>
      <c r="M5" s="484"/>
      <c r="N5" s="601" t="e">
        <f>((1/2)*'Calculation Data &amp; Factors'!$A$33*(Transmission!AH31*IF('FMTC Main'!$E$5="Metric",0.2778,0.4469))^2*($N$12*$N$9))*(IF('FMTC Main'!$E$5="Metric",1,0.22481))</f>
        <v>#VALUE!</v>
      </c>
      <c r="O5" s="602"/>
    </row>
    <row r="6" spans="1:15" ht="11.25" customHeight="1">
      <c r="B6" s="594" t="str">
        <f>"Drag Force"&amp;" "&amp;IF('FMTC Main'!E5="Metric","(N)","(lbf)")</f>
        <v>Drag Force (lbf)</v>
      </c>
      <c r="C6" s="595"/>
      <c r="D6" s="54" t="e">
        <f>IF(D5="","",('Calculation Data &amp; Factors'!$A$33*($N$11*$N$9)*(D5*IF('FMTC Main'!$E$5="Metric",0.2778,0.4469))^2)*(IF('FMTC Main'!$E$5="Metric",1,0.22481)))</f>
        <v>#DIV/0!</v>
      </c>
      <c r="E6" s="54" t="e">
        <f>IF(E5="","",('Calculation Data &amp; Factors'!$A$33*($N$11*$N$9)*(E5*IF('FMTC Main'!$E$5="Metric",0.2778,0.4469))^2)*(IF('FMTC Main'!$E$5="Metric",1,0.22481)))</f>
        <v>#DIV/0!</v>
      </c>
      <c r="F6" s="54" t="e">
        <f>IF(F5="","",('Calculation Data &amp; Factors'!$A$33*($N$11*$N$9)*(F5*IF('FMTC Main'!$E$5="Metric",0.2778,0.4469))^2)*(IF('FMTC Main'!$E$5="Metric",1,0.22481)))</f>
        <v>#DIV/0!</v>
      </c>
      <c r="G6" s="54" t="e">
        <f>IF(G5="","",('Calculation Data &amp; Factors'!$A$33*($N$11*$N$9)*(G5*IF('FMTC Main'!$E$5="Metric",0.2778,0.4469))^2)*(IF('FMTC Main'!$E$5="Metric",1,0.22481)))</f>
        <v>#DIV/0!</v>
      </c>
      <c r="H6" s="54" t="e">
        <f>IF(H5="","",('Calculation Data &amp; Factors'!$A$33*($N$11*$N$9)*(H5*IF('FMTC Main'!$E$5="Metric",0.2778,0.4469))^2)*(IF('FMTC Main'!$E$5="Metric",1,0.22481)))</f>
        <v>#DIV/0!</v>
      </c>
      <c r="I6" s="54" t="e">
        <f>IF(I5="","",('Calculation Data &amp; Factors'!$A$33*($N$11*$N$9)*(I5*IF('FMTC Main'!$E$5="Metric",0.2778,0.4469))^2)*(IF('FMTC Main'!$E$5="Metric",1,0.22481)))</f>
        <v>#DIV/0!</v>
      </c>
      <c r="K6" s="481" t="s">
        <v>649</v>
      </c>
      <c r="L6" s="484"/>
      <c r="M6" s="484"/>
      <c r="N6" s="599" t="e">
        <f>(SUM(D7:I7)/Transmission!AG3)/(SUM(D6:I6)/Transmission!AG3)</f>
        <v>#DIV/0!</v>
      </c>
      <c r="O6" s="600"/>
    </row>
    <row r="7" spans="1:15" ht="11.25" customHeight="1">
      <c r="B7" s="594" t="str">
        <f>"Downforce"&amp;" "&amp;IF('FMTC Main'!E5="Metric","(N)","(lbf)")</f>
        <v>Downforce (lbf)</v>
      </c>
      <c r="C7" s="595"/>
      <c r="D7" s="54" t="e">
        <f>IF(D5="","",((1/2)*'Calculation Data &amp; Factors'!$A$33*(D$5*IF('FMTC Main'!$E$5="Metric",0.2778,0.4469))^2*($N$12*$N$9))*(IF('FMTC Main'!$E$5="Metric",1,0.22481)))</f>
        <v>#DIV/0!</v>
      </c>
      <c r="E7" s="54" t="e">
        <f>IF(E5="","",((1/2)*'Calculation Data &amp; Factors'!$A$33*(E$5*IF('FMTC Main'!$E$5="Metric",0.2778,0.4469))^2*($N$12*$N$9))*(IF('FMTC Main'!$E$5="Metric",1,0.22481)))</f>
        <v>#DIV/0!</v>
      </c>
      <c r="F7" s="54" t="e">
        <f>IF(F5="","",((1/2)*'Calculation Data &amp; Factors'!$A$33*(F$5*IF('FMTC Main'!$E$5="Metric",0.2778,0.4469))^2*($N$12*$N$9))*(IF('FMTC Main'!$E$5="Metric",1,0.22481)))</f>
        <v>#DIV/0!</v>
      </c>
      <c r="G7" s="54" t="e">
        <f>IF(G5="","",((1/2)*'Calculation Data &amp; Factors'!$A$33*(G$5*IF('FMTC Main'!$E$5="Metric",0.2778,0.4469))^2*($N$12*$N$9))*(IF('FMTC Main'!$E$5="Metric",1,0.22481)))</f>
        <v>#DIV/0!</v>
      </c>
      <c r="H7" s="54" t="e">
        <f>IF(H5="","",((1/2)*'Calculation Data &amp; Factors'!$A$33*(H$5*IF('FMTC Main'!$E$5="Metric",0.2778,0.4469))^2*($N$12*$N$9))*(IF('FMTC Main'!$E$5="Metric",1,0.22481)))</f>
        <v>#DIV/0!</v>
      </c>
      <c r="I7" s="54" t="e">
        <f>IF(I5="","",((1/2)*'Calculation Data &amp; Factors'!$A$33*(I$5*IF('FMTC Main'!$E$5="Metric",0.2778,0.4469))^2*($N$12*$N$9))*(IF('FMTC Main'!$E$5="Metric",1,0.22481)))</f>
        <v>#DIV/0!</v>
      </c>
      <c r="K7" s="481" t="s">
        <v>654</v>
      </c>
      <c r="L7" s="484"/>
      <c r="M7" s="508"/>
      <c r="N7" s="128" t="e">
        <f>(SQRT(((Graveyard!V3+Graveyard!W3)/(IF('FMTC Main'!$E$5="Metric",0.10197,0.22481)))/((1/2)*'Calculation Data &amp; Factors'!$A$33*(Aerodynamics!$N$12*N9)))/IF('FMTC Main'!$E$5="Metric",0.2778,0.4469))</f>
        <v>#DIV/0!</v>
      </c>
      <c r="O7" s="125" t="str">
        <f>IF('FMTC Main'!E5="Metric","km/h","mph")</f>
        <v>mph</v>
      </c>
    </row>
    <row r="9" spans="1:15" ht="11.25" customHeight="1">
      <c r="K9" s="558" t="s">
        <v>747</v>
      </c>
      <c r="L9" s="559"/>
      <c r="M9" s="560"/>
      <c r="N9" s="195" t="e">
        <f>('Tire Dynamics'!Q42*IF('FMTC Main'!E5="Metric",0.001,0.0254))*('Tire Dynamics'!Q43*IF('FMTC Main'!E5="Metric",0.001,0.0254))</f>
        <v>#N/A</v>
      </c>
      <c r="O9" s="194" t="s">
        <v>753</v>
      </c>
    </row>
    <row r="10" spans="1:15" ht="11.25" customHeight="1">
      <c r="K10" s="558" t="s">
        <v>743</v>
      </c>
      <c r="L10" s="559"/>
      <c r="M10" s="560"/>
      <c r="N10" s="592" t="e">
        <f>('Calculation Data &amp; Factors'!B44*IF('FMTC Main'!E5="Metric",1000,735.5))/((IF(Transmission!AH31="",Transmission!AH32,Transmission!AH31))*IF('FMTC Main'!E5="Metric",0.2778,0.4469))^3</f>
        <v>#DIV/0!</v>
      </c>
      <c r="O10" s="593"/>
    </row>
    <row r="11" spans="1:15" ht="11.25" customHeight="1">
      <c r="K11" s="558" t="s">
        <v>1139</v>
      </c>
      <c r="L11" s="559"/>
      <c r="M11" s="560"/>
      <c r="N11" s="592" t="e">
        <f>(N10/'Calculation Data &amp; Factors'!A33)/N9</f>
        <v>#DIV/0!</v>
      </c>
      <c r="O11" s="593"/>
    </row>
    <row r="12" spans="1:15" ht="11.25" customHeight="1">
      <c r="K12" s="558" t="s">
        <v>759</v>
      </c>
      <c r="L12" s="559"/>
      <c r="M12" s="560"/>
      <c r="N12" s="592" t="e">
        <f>SQRT((N10/'Calculation Data &amp; Factors'!A33)*PI()*1)/N9</f>
        <v>#DIV/0!</v>
      </c>
      <c r="O12" s="593"/>
    </row>
    <row r="13" spans="1:15" ht="11.25" customHeight="1">
      <c r="K13" s="558" t="s">
        <v>633</v>
      </c>
      <c r="L13" s="559"/>
      <c r="M13" s="560"/>
      <c r="N13" s="111" t="e">
        <f>(('Calculation Data &amp; Factors'!B44*IF('FMTC Main'!E5="Metric",1000,735.5))/N10)^(1/3)/IF('FMTC Main'!E5="Metric",0.2778,0.4469)</f>
        <v>#DIV/0!</v>
      </c>
      <c r="O13" s="112" t="str">
        <f>IF('FMTC Main'!E5="Metric","km/h","mph")</f>
        <v>mph</v>
      </c>
    </row>
    <row r="22" spans="13:13" ht="11.25" customHeight="1">
      <c r="M22" s="113"/>
    </row>
    <row r="46" spans="1:1" ht="11.25" customHeight="1">
      <c r="A46" s="110"/>
    </row>
    <row r="47" spans="1:1" ht="11.25" customHeight="1">
      <c r="A47" s="110"/>
    </row>
    <row r="48" spans="1:1" ht="11.25" customHeight="1">
      <c r="A48" s="110"/>
    </row>
    <row r="49" spans="1:1" ht="11.25" customHeight="1">
      <c r="A49" s="110"/>
    </row>
    <row r="50" spans="1:1" ht="11.25" customHeight="1">
      <c r="A50" s="110"/>
    </row>
    <row r="51" spans="1:1" ht="11.25" customHeight="1">
      <c r="A51" s="110"/>
    </row>
  </sheetData>
  <sheetProtection sheet="1" objects="1" scenarios="1" selectLockedCells="1"/>
  <mergeCells count="21">
    <mergeCell ref="K13:M13"/>
    <mergeCell ref="K12:M12"/>
    <mergeCell ref="K11:M11"/>
    <mergeCell ref="K10:M10"/>
    <mergeCell ref="K9:M9"/>
    <mergeCell ref="A1:D1"/>
    <mergeCell ref="B2:I2"/>
    <mergeCell ref="B4:C4"/>
    <mergeCell ref="K2:O2"/>
    <mergeCell ref="N12:O12"/>
    <mergeCell ref="N11:O11"/>
    <mergeCell ref="N10:O10"/>
    <mergeCell ref="B7:C7"/>
    <mergeCell ref="K4:M4"/>
    <mergeCell ref="N6:O6"/>
    <mergeCell ref="B5:C5"/>
    <mergeCell ref="B6:C6"/>
    <mergeCell ref="K7:M7"/>
    <mergeCell ref="N5:O5"/>
    <mergeCell ref="K5:M5"/>
    <mergeCell ref="K6:M6"/>
  </mergeCells>
  <conditionalFormatting sqref="B4 K10:K13 N10:N13 D4:I7">
    <cfRule type="containsErrors" dxfId="52" priority="55" stopIfTrue="1">
      <formula>ISERROR(B4)</formula>
    </cfRule>
  </conditionalFormatting>
  <conditionalFormatting sqref="K5:N5 K6:O6">
    <cfRule type="containsErrors" dxfId="51" priority="15" stopIfTrue="1">
      <formula>ISERROR(K5)</formula>
    </cfRule>
  </conditionalFormatting>
  <conditionalFormatting sqref="K7">
    <cfRule type="containsErrors" dxfId="50" priority="7" stopIfTrue="1">
      <formula>ISERROR(K7)</formula>
    </cfRule>
  </conditionalFormatting>
  <conditionalFormatting sqref="N9 K9">
    <cfRule type="containsErrors" dxfId="49" priority="6" stopIfTrue="1">
      <formula>ISERROR(K9)</formula>
    </cfRule>
  </conditionalFormatting>
  <pageMargins left="0.7" right="0.7" top="0.75" bottom="0.75" header="0.3" footer="0.3"/>
  <pageSetup scale="98" orientation="portrait" horizontalDpi="4294967293" vertic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B39"/>
  <sheetViews>
    <sheetView showGridLines="0" zoomScaleNormal="100" workbookViewId="0">
      <pane ySplit="1" topLeftCell="A2" activePane="bottomLeft" state="frozen"/>
      <selection pane="bottomLeft" activeCell="F30" sqref="F30:G30"/>
    </sheetView>
  </sheetViews>
  <sheetFormatPr defaultColWidth="6.5703125" defaultRowHeight="12.95" customHeight="1"/>
  <cols>
    <col min="1" max="2" width="6.5703125" style="91"/>
    <col min="3" max="6" width="6.5703125" style="91" customWidth="1"/>
    <col min="7" max="10" width="6.5703125" style="91"/>
    <col min="11" max="11" width="6.5703125" style="118"/>
    <col min="12" max="20" width="6.5703125" style="347"/>
    <col min="21" max="16384" width="6.5703125" style="91"/>
  </cols>
  <sheetData>
    <row r="1" spans="1:20" ht="12.95" customHeight="1">
      <c r="A1" s="535" t="s">
        <v>765</v>
      </c>
      <c r="B1" s="536"/>
      <c r="C1" s="536"/>
      <c r="D1" s="536"/>
      <c r="E1" s="536"/>
    </row>
    <row r="2" spans="1:20" ht="12.95" customHeight="1">
      <c r="D2" s="332"/>
      <c r="E2" s="332"/>
    </row>
    <row r="3" spans="1:20" ht="12.95" customHeight="1">
      <c r="B3" s="619" t="s">
        <v>351</v>
      </c>
      <c r="C3" s="619"/>
      <c r="D3" s="630" t="e">
        <f>INDEX('Vehicle Database'!A3:A569,MATCH('FMTC Main'!H1,'Vehicle Database'!AA3:AA569,FALSE),1)</f>
        <v>#N/A</v>
      </c>
      <c r="E3" s="631"/>
      <c r="F3" s="631"/>
      <c r="G3" s="632"/>
      <c r="H3" s="158"/>
    </row>
    <row r="4" spans="1:20" ht="12.95" customHeight="1">
      <c r="B4" s="619" t="s">
        <v>352</v>
      </c>
      <c r="C4" s="619"/>
      <c r="D4" s="627" t="e">
        <f>INDEX('Vehicle Database'!B3:B569,MATCH('FMTC Main'!H1,'Vehicle Database'!AA3:AA569,FALSE),1)</f>
        <v>#N/A</v>
      </c>
      <c r="E4" s="628"/>
      <c r="F4" s="628"/>
      <c r="G4" s="629"/>
      <c r="H4" s="159"/>
    </row>
    <row r="5" spans="1:20" ht="12.95" customHeight="1">
      <c r="B5" s="619" t="s">
        <v>353</v>
      </c>
      <c r="C5" s="619"/>
      <c r="D5" s="624" t="e">
        <f>INDEX('Vehicle Database'!C3:C569,MATCH('FMTC Main'!H1,'Vehicle Database'!AA3:AA569,FALSE),1)</f>
        <v>#N/A</v>
      </c>
      <c r="E5" s="625"/>
      <c r="F5" s="625"/>
      <c r="G5" s="626"/>
      <c r="H5" s="159"/>
    </row>
    <row r="6" spans="1:20" ht="12.95" customHeight="1" collapsed="1"/>
    <row r="7" spans="1:20" ht="12.95" customHeight="1">
      <c r="B7" s="106" t="str">
        <f>'Calculation Data &amp; Factors'!A8</f>
        <v>F</v>
      </c>
      <c r="C7" s="104">
        <f>'FMTC Main'!F6</f>
        <v>0</v>
      </c>
      <c r="D7" s="633" t="str">
        <f>'FMTC Main'!E7&amp;" - "&amp;'FMTC Main'!E8</f>
        <v>Front - RWD</v>
      </c>
      <c r="E7" s="634"/>
      <c r="J7" s="118"/>
      <c r="K7" s="347"/>
      <c r="T7" s="91"/>
    </row>
    <row r="8" spans="1:20" ht="12.95" customHeight="1">
      <c r="B8" s="613" t="s">
        <v>570</v>
      </c>
      <c r="C8" s="614"/>
      <c r="D8" s="96">
        <f>'Calculation Data &amp; Factors'!B44</f>
        <v>0</v>
      </c>
      <c r="E8" s="97" t="str">
        <f>'FMTC Main'!$F9</f>
        <v>hp</v>
      </c>
      <c r="J8" s="118"/>
      <c r="K8" s="347"/>
      <c r="T8" s="91"/>
    </row>
    <row r="9" spans="1:20" ht="12.95" customHeight="1">
      <c r="B9" s="617" t="s">
        <v>569</v>
      </c>
      <c r="C9" s="618"/>
      <c r="D9" s="98">
        <f>'Calculation Data &amp; Factors'!C44</f>
        <v>0</v>
      </c>
      <c r="E9" s="99" t="str">
        <f>'FMTC Main'!$F10</f>
        <v>lb-ft</v>
      </c>
      <c r="J9" s="118"/>
      <c r="K9" s="347"/>
      <c r="T9" s="91"/>
    </row>
    <row r="10" spans="1:20" ht="12.95" customHeight="1">
      <c r="B10" s="617" t="s">
        <v>571</v>
      </c>
      <c r="C10" s="618"/>
      <c r="D10" s="98">
        <f>'FMTC Main'!E11</f>
        <v>0</v>
      </c>
      <c r="E10" s="99" t="str">
        <f>'FMTC Main'!$F11</f>
        <v>lbs</v>
      </c>
      <c r="J10" s="118"/>
      <c r="K10" s="347"/>
      <c r="T10" s="91"/>
    </row>
    <row r="11" spans="1:20" ht="12.95" customHeight="1">
      <c r="B11" s="617" t="s">
        <v>364</v>
      </c>
      <c r="C11" s="618"/>
      <c r="D11" s="108">
        <f>'FMTC Main'!E12</f>
        <v>0</v>
      </c>
      <c r="E11" s="99" t="s">
        <v>22</v>
      </c>
      <c r="J11" s="118"/>
      <c r="K11" s="347"/>
      <c r="T11" s="91"/>
    </row>
    <row r="12" spans="1:20" ht="12.95" customHeight="1">
      <c r="B12" s="620" t="s">
        <v>632</v>
      </c>
      <c r="C12" s="621"/>
      <c r="D12" s="109">
        <f>'FMTC Main'!E13</f>
        <v>0</v>
      </c>
      <c r="E12" s="100" t="s">
        <v>630</v>
      </c>
      <c r="J12" s="118"/>
      <c r="K12" s="347"/>
      <c r="T12" s="91"/>
    </row>
    <row r="13" spans="1:20" ht="12.95" customHeight="1">
      <c r="J13" s="118"/>
      <c r="K13" s="347"/>
      <c r="T13" s="91"/>
    </row>
    <row r="14" spans="1:20" ht="12.95" customHeight="1">
      <c r="B14" s="613" t="s">
        <v>575</v>
      </c>
      <c r="C14" s="614"/>
      <c r="D14" s="101">
        <f>'FMTC Main'!E14</f>
        <v>0</v>
      </c>
      <c r="E14" s="97" t="s">
        <v>17</v>
      </c>
      <c r="J14" s="118"/>
      <c r="K14" s="347"/>
      <c r="T14" s="91"/>
    </row>
    <row r="15" spans="1:20" ht="12.95" customHeight="1">
      <c r="B15" s="617" t="s">
        <v>576</v>
      </c>
      <c r="C15" s="618"/>
      <c r="D15" s="102">
        <f>'FMTC Main'!E15</f>
        <v>0</v>
      </c>
      <c r="E15" s="99" t="s">
        <v>17</v>
      </c>
      <c r="J15" s="118"/>
      <c r="K15" s="347"/>
      <c r="T15" s="91"/>
    </row>
    <row r="16" spans="1:20" ht="12.95" customHeight="1">
      <c r="B16" s="620" t="s">
        <v>577</v>
      </c>
      <c r="C16" s="621"/>
      <c r="D16" s="103">
        <f>'FMTC Main'!E16</f>
        <v>0</v>
      </c>
      <c r="E16" s="100" t="s">
        <v>17</v>
      </c>
      <c r="J16" s="118"/>
      <c r="K16" s="347"/>
      <c r="T16" s="91"/>
    </row>
    <row r="17" spans="2:28" ht="12.95" customHeight="1">
      <c r="J17" s="118"/>
      <c r="K17" s="347"/>
      <c r="T17" s="91"/>
    </row>
    <row r="18" spans="2:28" ht="12.95" customHeight="1">
      <c r="B18" s="615" t="s">
        <v>578</v>
      </c>
      <c r="C18" s="616"/>
      <c r="D18" s="622">
        <f>'FMTC Main'!E17</f>
        <v>0</v>
      </c>
      <c r="E18" s="623"/>
      <c r="J18" s="118"/>
      <c r="K18" s="347"/>
      <c r="T18" s="91"/>
    </row>
    <row r="19" spans="2:28" ht="12.95" customHeight="1">
      <c r="K19" s="347"/>
      <c r="T19" s="91"/>
    </row>
    <row r="20" spans="2:28" ht="12.95" customHeight="1">
      <c r="B20" s="613" t="s">
        <v>579</v>
      </c>
      <c r="C20" s="614"/>
      <c r="D20" s="635" t="str">
        <f>'FMTC Main'!E22&amp;"/"&amp;'FMTC Main'!E23&amp;"R"&amp;'FMTC Main'!E24</f>
        <v>/R</v>
      </c>
      <c r="E20" s="636"/>
      <c r="J20" s="118"/>
      <c r="K20" s="347"/>
      <c r="T20" s="91"/>
    </row>
    <row r="21" spans="2:28" ht="12.95" customHeight="1">
      <c r="B21" s="620" t="s">
        <v>580</v>
      </c>
      <c r="C21" s="621"/>
      <c r="D21" s="637" t="str">
        <f>'FMTC Main'!E27&amp;"/"&amp;'FMTC Main'!E28&amp;"R"&amp;'FMTC Main'!E29</f>
        <v>/R</v>
      </c>
      <c r="E21" s="638"/>
      <c r="J21" s="118"/>
      <c r="K21" s="347"/>
      <c r="T21" s="91"/>
    </row>
    <row r="23" spans="2:28" ht="12.95" customHeight="1" thickBot="1">
      <c r="B23" s="473" t="s">
        <v>627</v>
      </c>
      <c r="C23" s="473"/>
      <c r="D23" s="473"/>
      <c r="E23" s="473"/>
      <c r="F23" s="473"/>
      <c r="G23" s="473"/>
      <c r="H23" s="363"/>
      <c r="I23" s="363"/>
      <c r="J23" s="363"/>
      <c r="K23" s="363"/>
      <c r="L23" s="363"/>
      <c r="M23" s="363"/>
      <c r="N23" s="363"/>
      <c r="O23" s="363"/>
      <c r="P23" s="363"/>
      <c r="Q23" s="363"/>
      <c r="R23" s="363"/>
      <c r="S23" s="363"/>
      <c r="T23" s="363"/>
      <c r="U23" s="363"/>
      <c r="V23" s="363"/>
      <c r="W23" s="363"/>
      <c r="X23" s="363"/>
      <c r="Y23" s="363"/>
      <c r="Z23" s="363"/>
      <c r="AA23" s="363"/>
      <c r="AB23" s="363"/>
    </row>
    <row r="24" spans="2:28" ht="12.95" customHeight="1" thickTop="1"/>
    <row r="25" spans="2:28" ht="12.95" customHeight="1">
      <c r="B25" s="605" t="s">
        <v>581</v>
      </c>
      <c r="C25" s="606"/>
      <c r="D25" s="606"/>
      <c r="E25" s="607"/>
      <c r="F25" s="347"/>
      <c r="G25" s="347"/>
      <c r="I25" s="605" t="s">
        <v>594</v>
      </c>
      <c r="J25" s="606"/>
      <c r="K25" s="606"/>
      <c r="L25" s="607"/>
      <c r="P25" s="605" t="s">
        <v>605</v>
      </c>
      <c r="Q25" s="606"/>
      <c r="R25" s="606"/>
      <c r="S25" s="607"/>
      <c r="U25" s="347"/>
      <c r="W25" s="605" t="s">
        <v>614</v>
      </c>
      <c r="X25" s="606"/>
      <c r="Y25" s="606"/>
      <c r="Z25" s="607"/>
      <c r="AA25" s="347"/>
      <c r="AB25" s="347"/>
    </row>
    <row r="26" spans="2:28" ht="12.95" customHeight="1">
      <c r="B26" s="481" t="s">
        <v>582</v>
      </c>
      <c r="C26" s="484"/>
      <c r="D26" s="484"/>
      <c r="E26" s="508"/>
      <c r="F26" s="603" t="s">
        <v>45</v>
      </c>
      <c r="G26" s="604"/>
      <c r="I26" s="481" t="s">
        <v>595</v>
      </c>
      <c r="J26" s="484"/>
      <c r="K26" s="484"/>
      <c r="L26" s="508"/>
      <c r="M26" s="603" t="s">
        <v>45</v>
      </c>
      <c r="N26" s="604"/>
      <c r="P26" s="481" t="s">
        <v>606</v>
      </c>
      <c r="Q26" s="484"/>
      <c r="R26" s="484"/>
      <c r="S26" s="508"/>
      <c r="T26" s="603" t="s">
        <v>45</v>
      </c>
      <c r="U26" s="604"/>
      <c r="W26" s="481" t="s">
        <v>615</v>
      </c>
      <c r="X26" s="484"/>
      <c r="Y26" s="484"/>
      <c r="Z26" s="484"/>
      <c r="AA26" s="611"/>
      <c r="AB26" s="612"/>
    </row>
    <row r="27" spans="2:28" ht="12.95" customHeight="1">
      <c r="B27" s="481" t="s">
        <v>583</v>
      </c>
      <c r="C27" s="484"/>
      <c r="D27" s="484"/>
      <c r="E27" s="508"/>
      <c r="F27" s="603" t="s">
        <v>45</v>
      </c>
      <c r="G27" s="604"/>
      <c r="I27" s="481" t="s">
        <v>596</v>
      </c>
      <c r="J27" s="484"/>
      <c r="K27" s="484"/>
      <c r="L27" s="508"/>
      <c r="M27" s="603" t="s">
        <v>45</v>
      </c>
      <c r="N27" s="604"/>
      <c r="P27" s="481" t="s">
        <v>622</v>
      </c>
      <c r="Q27" s="484"/>
      <c r="R27" s="484"/>
      <c r="S27" s="508"/>
      <c r="T27" s="603" t="s">
        <v>45</v>
      </c>
      <c r="U27" s="604"/>
      <c r="W27" s="481" t="s">
        <v>616</v>
      </c>
      <c r="X27" s="484"/>
      <c r="Y27" s="484"/>
      <c r="Z27" s="508"/>
      <c r="AA27" s="609" t="s">
        <v>45</v>
      </c>
      <c r="AB27" s="610"/>
    </row>
    <row r="28" spans="2:28" ht="12.95" customHeight="1">
      <c r="B28" s="481" t="s">
        <v>584</v>
      </c>
      <c r="C28" s="484"/>
      <c r="D28" s="484"/>
      <c r="E28" s="508"/>
      <c r="F28" s="603" t="s">
        <v>45</v>
      </c>
      <c r="G28" s="604"/>
      <c r="I28" s="481" t="s">
        <v>597</v>
      </c>
      <c r="J28" s="484"/>
      <c r="K28" s="484"/>
      <c r="L28" s="508"/>
      <c r="M28" s="603" t="s">
        <v>45</v>
      </c>
      <c r="N28" s="604"/>
      <c r="P28" s="481" t="s">
        <v>623</v>
      </c>
      <c r="Q28" s="484"/>
      <c r="R28" s="484"/>
      <c r="S28" s="508"/>
      <c r="T28" s="603" t="s">
        <v>45</v>
      </c>
      <c r="U28" s="604"/>
      <c r="W28" s="481" t="s">
        <v>617</v>
      </c>
      <c r="X28" s="484"/>
      <c r="Y28" s="484"/>
      <c r="Z28" s="603" t="s">
        <v>45</v>
      </c>
      <c r="AA28" s="608"/>
      <c r="AB28" s="604"/>
    </row>
    <row r="29" spans="2:28" ht="12.95" customHeight="1">
      <c r="B29" s="521" t="s">
        <v>585</v>
      </c>
      <c r="C29" s="522"/>
      <c r="D29" s="522"/>
      <c r="E29" s="523"/>
      <c r="F29" s="603" t="s">
        <v>45</v>
      </c>
      <c r="G29" s="604"/>
      <c r="I29" s="521" t="s">
        <v>598</v>
      </c>
      <c r="J29" s="522"/>
      <c r="K29" s="522"/>
      <c r="L29" s="523"/>
      <c r="M29" s="603" t="s">
        <v>45</v>
      </c>
      <c r="N29" s="604"/>
      <c r="P29" s="481" t="s">
        <v>624</v>
      </c>
      <c r="Q29" s="484"/>
      <c r="R29" s="484"/>
      <c r="S29" s="508"/>
      <c r="T29" s="603" t="s">
        <v>45</v>
      </c>
      <c r="U29" s="604"/>
    </row>
    <row r="30" spans="2:28" ht="12.95" customHeight="1">
      <c r="B30" s="521" t="s">
        <v>586</v>
      </c>
      <c r="C30" s="522"/>
      <c r="D30" s="522"/>
      <c r="E30" s="523"/>
      <c r="F30" s="603" t="s">
        <v>45</v>
      </c>
      <c r="G30" s="604"/>
      <c r="I30" s="521" t="s">
        <v>599</v>
      </c>
      <c r="J30" s="522"/>
      <c r="K30" s="522"/>
      <c r="L30" s="523"/>
      <c r="M30" s="603" t="s">
        <v>45</v>
      </c>
      <c r="N30" s="604"/>
      <c r="P30" s="521" t="s">
        <v>625</v>
      </c>
      <c r="Q30" s="522"/>
      <c r="R30" s="522"/>
      <c r="S30" s="523"/>
      <c r="T30" s="603" t="s">
        <v>45</v>
      </c>
      <c r="U30" s="604"/>
    </row>
    <row r="31" spans="2:28" ht="12.95" customHeight="1">
      <c r="B31" s="521" t="s">
        <v>587</v>
      </c>
      <c r="C31" s="522"/>
      <c r="D31" s="522"/>
      <c r="E31" s="523"/>
      <c r="F31" s="603" t="s">
        <v>45</v>
      </c>
      <c r="G31" s="604"/>
      <c r="I31" s="521" t="s">
        <v>600</v>
      </c>
      <c r="J31" s="522"/>
      <c r="K31" s="522"/>
      <c r="L31" s="523"/>
      <c r="M31" s="603" t="s">
        <v>45</v>
      </c>
      <c r="N31" s="604"/>
      <c r="P31" s="481" t="s">
        <v>607</v>
      </c>
      <c r="Q31" s="508"/>
      <c r="R31" s="603" t="s">
        <v>593</v>
      </c>
      <c r="S31" s="608"/>
      <c r="T31" s="608"/>
      <c r="U31" s="604"/>
    </row>
    <row r="32" spans="2:28" ht="12.95" customHeight="1">
      <c r="B32" s="521" t="s">
        <v>588</v>
      </c>
      <c r="C32" s="522"/>
      <c r="D32" s="522"/>
      <c r="E32" s="523"/>
      <c r="F32" s="603" t="s">
        <v>45</v>
      </c>
      <c r="G32" s="604"/>
    </row>
    <row r="33" spans="2:28" ht="12.95" customHeight="1">
      <c r="B33" s="521" t="s">
        <v>589</v>
      </c>
      <c r="C33" s="522"/>
      <c r="D33" s="522"/>
      <c r="E33" s="523"/>
      <c r="F33" s="603" t="s">
        <v>45</v>
      </c>
      <c r="G33" s="604"/>
    </row>
    <row r="34" spans="2:28" ht="12.95" customHeight="1">
      <c r="B34" s="521" t="s">
        <v>626</v>
      </c>
      <c r="C34" s="522"/>
      <c r="D34" s="522"/>
      <c r="E34" s="523"/>
      <c r="F34" s="603" t="s">
        <v>45</v>
      </c>
      <c r="G34" s="604"/>
      <c r="P34" s="605" t="s">
        <v>608</v>
      </c>
      <c r="Q34" s="606"/>
      <c r="R34" s="606"/>
      <c r="S34" s="607"/>
      <c r="U34" s="347"/>
    </row>
    <row r="35" spans="2:28" ht="12.95" customHeight="1">
      <c r="B35" s="521" t="str">
        <f>IF(Z28="-","",Z28)</f>
        <v/>
      </c>
      <c r="C35" s="522"/>
      <c r="D35" s="522"/>
      <c r="E35" s="523"/>
      <c r="F35" s="603" t="s">
        <v>45</v>
      </c>
      <c r="G35" s="604"/>
      <c r="I35" s="605" t="s">
        <v>601</v>
      </c>
      <c r="J35" s="606"/>
      <c r="K35" s="606"/>
      <c r="L35" s="607"/>
      <c r="P35" s="481" t="s">
        <v>609</v>
      </c>
      <c r="Q35" s="484"/>
      <c r="R35" s="484"/>
      <c r="S35" s="484"/>
      <c r="T35" s="603" t="s">
        <v>45</v>
      </c>
      <c r="U35" s="604"/>
    </row>
    <row r="36" spans="2:28" ht="12.95" customHeight="1">
      <c r="B36" s="481" t="s">
        <v>618</v>
      </c>
      <c r="C36" s="484"/>
      <c r="D36" s="484"/>
      <c r="E36" s="508"/>
      <c r="F36" s="603" t="s">
        <v>45</v>
      </c>
      <c r="G36" s="604"/>
      <c r="I36" s="481" t="s">
        <v>602</v>
      </c>
      <c r="J36" s="484"/>
      <c r="K36" s="484"/>
      <c r="L36" s="508"/>
      <c r="M36" s="603" t="s">
        <v>45</v>
      </c>
      <c r="N36" s="604"/>
      <c r="P36" s="481" t="s">
        <v>613</v>
      </c>
      <c r="Q36" s="484"/>
      <c r="R36" s="484"/>
      <c r="S36" s="484"/>
      <c r="T36" s="603" t="s">
        <v>45</v>
      </c>
      <c r="U36" s="604"/>
    </row>
    <row r="37" spans="2:28" ht="12.95" customHeight="1">
      <c r="B37" s="521" t="s">
        <v>590</v>
      </c>
      <c r="C37" s="522"/>
      <c r="D37" s="522"/>
      <c r="E37" s="523"/>
      <c r="F37" s="603" t="s">
        <v>45</v>
      </c>
      <c r="G37" s="604"/>
      <c r="I37" s="481" t="s">
        <v>71</v>
      </c>
      <c r="J37" s="484"/>
      <c r="K37" s="484"/>
      <c r="L37" s="508"/>
      <c r="M37" s="603" t="s">
        <v>45</v>
      </c>
      <c r="N37" s="604"/>
      <c r="P37" s="481" t="s">
        <v>610</v>
      </c>
      <c r="Q37" s="484"/>
      <c r="R37" s="484"/>
      <c r="S37" s="484"/>
      <c r="T37" s="603" t="s">
        <v>45</v>
      </c>
      <c r="U37" s="604"/>
    </row>
    <row r="38" spans="2:28" ht="12.95" customHeight="1">
      <c r="B38" s="521" t="s">
        <v>591</v>
      </c>
      <c r="C38" s="522"/>
      <c r="D38" s="522"/>
      <c r="E38" s="523"/>
      <c r="F38" s="603" t="s">
        <v>45</v>
      </c>
      <c r="G38" s="604"/>
      <c r="I38" s="481" t="s">
        <v>603</v>
      </c>
      <c r="J38" s="484"/>
      <c r="K38" s="484"/>
      <c r="L38" s="508"/>
      <c r="M38" s="603" t="s">
        <v>45</v>
      </c>
      <c r="N38" s="604"/>
      <c r="P38" s="521" t="s">
        <v>611</v>
      </c>
      <c r="Q38" s="522"/>
      <c r="R38" s="522"/>
      <c r="S38" s="522"/>
      <c r="T38" s="603" t="s">
        <v>45</v>
      </c>
      <c r="U38" s="604"/>
      <c r="W38" s="605" t="s">
        <v>1026</v>
      </c>
      <c r="X38" s="606"/>
      <c r="Y38" s="606"/>
      <c r="Z38" s="607"/>
      <c r="AA38" s="347"/>
      <c r="AB38" s="347"/>
    </row>
    <row r="39" spans="2:28" ht="12.95" customHeight="1">
      <c r="B39" s="521" t="s">
        <v>592</v>
      </c>
      <c r="C39" s="522"/>
      <c r="D39" s="522"/>
      <c r="E39" s="523"/>
      <c r="F39" s="603" t="s">
        <v>45</v>
      </c>
      <c r="G39" s="604"/>
      <c r="I39" s="521" t="s">
        <v>604</v>
      </c>
      <c r="J39" s="522"/>
      <c r="K39" s="522"/>
      <c r="L39" s="523"/>
      <c r="M39" s="603" t="s">
        <v>45</v>
      </c>
      <c r="N39" s="604"/>
      <c r="P39" s="521" t="s">
        <v>612</v>
      </c>
      <c r="Q39" s="522"/>
      <c r="R39" s="522"/>
      <c r="S39" s="522"/>
      <c r="T39" s="603" t="s">
        <v>45</v>
      </c>
      <c r="U39" s="604"/>
      <c r="W39" s="481" t="s">
        <v>1027</v>
      </c>
      <c r="X39" s="484"/>
      <c r="Y39" s="484"/>
      <c r="Z39" s="508"/>
      <c r="AA39" s="603" t="s">
        <v>45</v>
      </c>
      <c r="AB39" s="604"/>
    </row>
  </sheetData>
  <sheetProtection sheet="1" objects="1" scenarios="1" selectLockedCells="1"/>
  <dataConsolidate/>
  <mergeCells count="108">
    <mergeCell ref="B26:E26"/>
    <mergeCell ref="F28:G28"/>
    <mergeCell ref="F29:G29"/>
    <mergeCell ref="A1:E1"/>
    <mergeCell ref="B14:C14"/>
    <mergeCell ref="B8:C8"/>
    <mergeCell ref="B9:C9"/>
    <mergeCell ref="B10:C10"/>
    <mergeCell ref="B11:C11"/>
    <mergeCell ref="B3:C3"/>
    <mergeCell ref="B16:C16"/>
    <mergeCell ref="D18:E18"/>
    <mergeCell ref="D5:G5"/>
    <mergeCell ref="D4:G4"/>
    <mergeCell ref="D3:G3"/>
    <mergeCell ref="D7:E7"/>
    <mergeCell ref="B5:C5"/>
    <mergeCell ref="B12:C12"/>
    <mergeCell ref="B15:C15"/>
    <mergeCell ref="B4:C4"/>
    <mergeCell ref="B21:C21"/>
    <mergeCell ref="D20:E20"/>
    <mergeCell ref="D21:E21"/>
    <mergeCell ref="B23:G23"/>
    <mergeCell ref="B20:C20"/>
    <mergeCell ref="B18:C18"/>
    <mergeCell ref="I25:L25"/>
    <mergeCell ref="B25:E25"/>
    <mergeCell ref="B39:E39"/>
    <mergeCell ref="F34:G34"/>
    <mergeCell ref="B33:E33"/>
    <mergeCell ref="B28:E28"/>
    <mergeCell ref="B27:E27"/>
    <mergeCell ref="B38:E38"/>
    <mergeCell ref="B37:E37"/>
    <mergeCell ref="F36:G36"/>
    <mergeCell ref="F38:G38"/>
    <mergeCell ref="B29:E29"/>
    <mergeCell ref="F30:G30"/>
    <mergeCell ref="F31:G31"/>
    <mergeCell ref="F32:G32"/>
    <mergeCell ref="B35:E35"/>
    <mergeCell ref="F39:G39"/>
    <mergeCell ref="B36:E36"/>
    <mergeCell ref="F35:G35"/>
    <mergeCell ref="B34:E34"/>
    <mergeCell ref="F27:G27"/>
    <mergeCell ref="B31:E31"/>
    <mergeCell ref="B30:E30"/>
    <mergeCell ref="B32:E32"/>
    <mergeCell ref="I35:L35"/>
    <mergeCell ref="M30:N30"/>
    <mergeCell ref="F33:G33"/>
    <mergeCell ref="F37:G37"/>
    <mergeCell ref="I28:L28"/>
    <mergeCell ref="I29:L29"/>
    <mergeCell ref="M31:N31"/>
    <mergeCell ref="F26:G26"/>
    <mergeCell ref="AA39:AB39"/>
    <mergeCell ref="R31:U31"/>
    <mergeCell ref="T27:U27"/>
    <mergeCell ref="AA27:AB27"/>
    <mergeCell ref="M37:N37"/>
    <mergeCell ref="I38:L38"/>
    <mergeCell ref="P27:S27"/>
    <mergeCell ref="T30:U30"/>
    <mergeCell ref="P34:S34"/>
    <mergeCell ref="M27:N27"/>
    <mergeCell ref="Z28:AB28"/>
    <mergeCell ref="W28:Y28"/>
    <mergeCell ref="I37:L37"/>
    <mergeCell ref="M38:N38"/>
    <mergeCell ref="M29:N29"/>
    <mergeCell ref="M28:N28"/>
    <mergeCell ref="AA26:AB26"/>
    <mergeCell ref="T35:U35"/>
    <mergeCell ref="P35:S35"/>
    <mergeCell ref="T38:U38"/>
    <mergeCell ref="P30:S30"/>
    <mergeCell ref="T29:U29"/>
    <mergeCell ref="P29:S29"/>
    <mergeCell ref="I39:L39"/>
    <mergeCell ref="I36:L36"/>
    <mergeCell ref="M36:N36"/>
    <mergeCell ref="I31:L31"/>
    <mergeCell ref="P26:S26"/>
    <mergeCell ref="T26:U26"/>
    <mergeCell ref="P28:S28"/>
    <mergeCell ref="W38:Z38"/>
    <mergeCell ref="W39:Z39"/>
    <mergeCell ref="P37:S37"/>
    <mergeCell ref="P36:S36"/>
    <mergeCell ref="M39:N39"/>
    <mergeCell ref="M26:N26"/>
    <mergeCell ref="I27:L27"/>
    <mergeCell ref="I30:L30"/>
    <mergeCell ref="P39:S39"/>
    <mergeCell ref="T39:U39"/>
    <mergeCell ref="W27:Z27"/>
    <mergeCell ref="W26:Z26"/>
    <mergeCell ref="I26:L26"/>
    <mergeCell ref="P31:Q31"/>
    <mergeCell ref="T28:U28"/>
    <mergeCell ref="T36:U36"/>
    <mergeCell ref="W25:Z25"/>
    <mergeCell ref="P38:S38"/>
    <mergeCell ref="T37:U37"/>
    <mergeCell ref="P25:S25"/>
  </mergeCells>
  <conditionalFormatting sqref="B7">
    <cfRule type="cellIs" dxfId="48" priority="29" stopIfTrue="1" operator="equal">
      <formula>"X"</formula>
    </cfRule>
    <cfRule type="cellIs" dxfId="47" priority="30" stopIfTrue="1" operator="equal">
      <formula>"R1"</formula>
    </cfRule>
    <cfRule type="cellIs" dxfId="46" priority="31" stopIfTrue="1" operator="equal">
      <formula>"R2"</formula>
    </cfRule>
    <cfRule type="cellIs" dxfId="45" priority="32" stopIfTrue="1" operator="equal">
      <formula>"R3"</formula>
    </cfRule>
    <cfRule type="cellIs" dxfId="44" priority="33" stopIfTrue="1" operator="equal">
      <formula>"S"</formula>
    </cfRule>
    <cfRule type="cellIs" dxfId="43" priority="34" stopIfTrue="1" operator="equal">
      <formula>"A"</formula>
    </cfRule>
    <cfRule type="cellIs" dxfId="42" priority="35" stopIfTrue="1" operator="equal">
      <formula>"B"</formula>
    </cfRule>
    <cfRule type="cellIs" dxfId="41" priority="36" stopIfTrue="1" operator="equal">
      <formula>"C"</formula>
    </cfRule>
    <cfRule type="cellIs" dxfId="40" priority="37" stopIfTrue="1" operator="equal">
      <formula>"D"</formula>
    </cfRule>
    <cfRule type="cellIs" dxfId="39" priority="38" stopIfTrue="1" operator="equal">
      <formula>"E"</formula>
    </cfRule>
    <cfRule type="cellIs" dxfId="38" priority="39" stopIfTrue="1" operator="equal">
      <formula>"F"</formula>
    </cfRule>
  </conditionalFormatting>
  <dataValidations count="10">
    <dataValidation type="list" allowBlank="1" showInputMessage="1" showErrorMessage="1" sqref="AA27:AB27">
      <formula1>"-,FWD,RWD,AWD"</formula1>
    </dataValidation>
    <dataValidation type="list" allowBlank="1" showInputMessage="1" showErrorMessage="1" sqref="Z28:AB28">
      <formula1>"-,Single Turbocharger,Twin Turbocharger,Twin-Screw Supercharger,Centrifugal Supercharger"</formula1>
    </dataValidation>
    <dataValidation type="list" allowBlank="1" showInputMessage="1" showErrorMessage="1" sqref="M36:N38 F37:G38 F26:G35 M26:N31 AA39:AB39 T35:U39">
      <formula1>"-,Stock,Street,Sport,Race"</formula1>
    </dataValidation>
    <dataValidation type="list" allowBlank="1" showInputMessage="1" showErrorMessage="1" sqref="M39:N39">
      <formula1>"-,Stock,Sport,Race"</formula1>
    </dataValidation>
    <dataValidation type="list" allowBlank="1" showInputMessage="1" showErrorMessage="1" sqref="F39:G39">
      <formula1>"-,Stock,Remove"</formula1>
    </dataValidation>
    <dataValidation type="list" allowBlank="1" showInputMessage="1" showErrorMessage="1" sqref="B34:E34">
      <formula1>"Pistons and Compression,Rotors and Compression"</formula1>
    </dataValidation>
    <dataValidation type="list" allowBlank="1" showInputMessage="1" showErrorMessage="1" sqref="F36:G36">
      <formula1>"-,No Intercooler,Stock,Street,Sport,Race"</formula1>
    </dataValidation>
    <dataValidation type="list" allowBlank="1" showInputMessage="1" showErrorMessage="1" sqref="T27:U30">
      <formula1>"-,Stock,Upgraded"</formula1>
    </dataValidation>
    <dataValidation type="list" allowBlank="1" showInputMessage="1" showErrorMessage="1" sqref="T26:U26">
      <formula1>"-,Stock,Street,Sport,Race,Drag"</formula1>
    </dataValidation>
    <dataValidation type="list" allowBlank="1" showInputMessage="1" showErrorMessage="1" sqref="R31:U31">
      <formula1>RimList</formula1>
    </dataValidation>
  </dataValidations>
  <pageMargins left="0.7" right="0.7" top="0.75" bottom="0.75" header="0.3" footer="0.3"/>
  <pageSetup scale="71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T51"/>
  <sheetViews>
    <sheetView showGridLines="0" zoomScaleNormal="100" workbookViewId="0">
      <pane ySplit="2" topLeftCell="A3" activePane="bottomLeft" state="frozen"/>
      <selection pane="bottomLeft" activeCell="G28" sqref="G28"/>
    </sheetView>
  </sheetViews>
  <sheetFormatPr defaultColWidth="6.5703125" defaultRowHeight="11.25" customHeight="1"/>
  <cols>
    <col min="1" max="1" width="7.5703125" style="347" bestFit="1" customWidth="1"/>
    <col min="2" max="2" width="28.42578125" style="347" bestFit="1" customWidth="1"/>
    <col min="3" max="8" width="11.7109375" style="347" customWidth="1"/>
    <col min="9" max="10" width="14.7109375" style="347" customWidth="1"/>
    <col min="11" max="12" width="12.7109375" style="347" customWidth="1"/>
    <col min="13" max="13" width="12.7109375" style="264" customWidth="1"/>
    <col min="14" max="16384" width="6.5703125" style="347"/>
  </cols>
  <sheetData>
    <row r="1" spans="1:19" ht="11.25" customHeight="1">
      <c r="A1" s="639" t="s">
        <v>777</v>
      </c>
      <c r="B1" s="640"/>
      <c r="C1" s="640"/>
      <c r="D1" s="640"/>
      <c r="E1" s="640"/>
      <c r="F1" s="640"/>
      <c r="G1" s="640"/>
      <c r="H1" s="640"/>
      <c r="I1" s="640"/>
      <c r="J1" s="640"/>
      <c r="K1" s="262"/>
      <c r="L1" s="262"/>
      <c r="M1" s="263"/>
    </row>
    <row r="2" spans="1:19" ht="11.25" customHeight="1">
      <c r="A2" s="296" t="s">
        <v>572</v>
      </c>
      <c r="B2" s="297" t="s">
        <v>581</v>
      </c>
      <c r="C2" s="298" t="s">
        <v>995</v>
      </c>
      <c r="D2" s="299" t="s">
        <v>732</v>
      </c>
      <c r="E2" s="299" t="s">
        <v>996</v>
      </c>
      <c r="F2" s="299" t="s">
        <v>733</v>
      </c>
      <c r="G2" s="299" t="s">
        <v>997</v>
      </c>
      <c r="H2" s="299" t="s">
        <v>734</v>
      </c>
      <c r="I2" s="299" t="s">
        <v>735</v>
      </c>
      <c r="J2" s="300" t="s">
        <v>736</v>
      </c>
      <c r="K2" s="301" t="s">
        <v>1007</v>
      </c>
      <c r="L2" s="301" t="s">
        <v>1008</v>
      </c>
      <c r="M2" s="302" t="s">
        <v>1006</v>
      </c>
      <c r="N2" s="359" t="s">
        <v>998</v>
      </c>
      <c r="O2" s="22"/>
      <c r="P2" s="22"/>
      <c r="Q2" s="22"/>
      <c r="R2" s="22"/>
      <c r="S2" s="22"/>
    </row>
    <row r="3" spans="1:19" ht="11.25" customHeight="1">
      <c r="A3" s="266" t="s">
        <v>729</v>
      </c>
      <c r="B3" s="267" t="s">
        <v>583</v>
      </c>
      <c r="C3" s="268"/>
      <c r="D3" s="269">
        <f t="shared" ref="D3:D40" si="0">C3/$R$5</f>
        <v>0</v>
      </c>
      <c r="E3" s="270"/>
      <c r="F3" s="269">
        <f t="shared" ref="F3:F40" si="1">E3/$R$6</f>
        <v>0</v>
      </c>
      <c r="G3" s="270"/>
      <c r="H3" s="269">
        <f t="shared" ref="H3:H40" si="2">G3/$R$7</f>
        <v>0</v>
      </c>
      <c r="I3" s="271" t="e">
        <f t="shared" ref="I3:I34" si="3">C3/G3</f>
        <v>#DIV/0!</v>
      </c>
      <c r="J3" s="272" t="e">
        <f t="shared" ref="J3:J34" si="4">E3/G3</f>
        <v>#DIV/0!</v>
      </c>
      <c r="K3" s="273" t="e">
        <f t="shared" ref="K3:K34" si="5">D3/H3</f>
        <v>#DIV/0!</v>
      </c>
      <c r="L3" s="274" t="e">
        <f t="shared" ref="L3:L34" si="6">F3/H3</f>
        <v>#DIV/0!</v>
      </c>
      <c r="M3" s="275" t="e">
        <f t="shared" ref="M3:M34" si="7">(D3+F3)/H3</f>
        <v>#DIV/0!</v>
      </c>
      <c r="N3" s="22"/>
      <c r="O3" s="22"/>
      <c r="P3" s="22"/>
      <c r="Q3" s="22"/>
      <c r="R3" s="22"/>
      <c r="S3" s="22"/>
    </row>
    <row r="4" spans="1:19" ht="11.25" customHeight="1">
      <c r="A4" s="276" t="s">
        <v>1003</v>
      </c>
      <c r="B4" s="277" t="s">
        <v>592</v>
      </c>
      <c r="C4" s="278"/>
      <c r="D4" s="269">
        <f t="shared" si="0"/>
        <v>0</v>
      </c>
      <c r="E4" s="279"/>
      <c r="F4" s="269">
        <f t="shared" si="1"/>
        <v>0</v>
      </c>
      <c r="G4" s="279"/>
      <c r="H4" s="269">
        <f t="shared" si="2"/>
        <v>0</v>
      </c>
      <c r="I4" s="271" t="e">
        <f t="shared" si="3"/>
        <v>#DIV/0!</v>
      </c>
      <c r="J4" s="272" t="e">
        <f t="shared" si="4"/>
        <v>#DIV/0!</v>
      </c>
      <c r="K4" s="273" t="e">
        <f t="shared" si="5"/>
        <v>#DIV/0!</v>
      </c>
      <c r="L4" s="273" t="e">
        <f t="shared" si="6"/>
        <v>#DIV/0!</v>
      </c>
      <c r="M4" s="275" t="e">
        <f t="shared" si="7"/>
        <v>#DIV/0!</v>
      </c>
      <c r="N4" s="22"/>
      <c r="O4" s="644" t="s">
        <v>778</v>
      </c>
      <c r="P4" s="644"/>
      <c r="Q4" s="645"/>
      <c r="R4" s="265"/>
      <c r="S4" s="265"/>
    </row>
    <row r="5" spans="1:19" ht="11.25" customHeight="1">
      <c r="A5" s="276" t="s">
        <v>731</v>
      </c>
      <c r="B5" s="280" t="s">
        <v>725</v>
      </c>
      <c r="C5" s="281"/>
      <c r="D5" s="269">
        <f t="shared" si="0"/>
        <v>0</v>
      </c>
      <c r="E5" s="279"/>
      <c r="F5" s="269">
        <f t="shared" si="1"/>
        <v>0</v>
      </c>
      <c r="G5" s="279"/>
      <c r="H5" s="269">
        <f t="shared" si="2"/>
        <v>0</v>
      </c>
      <c r="I5" s="271" t="e">
        <f t="shared" si="3"/>
        <v>#DIV/0!</v>
      </c>
      <c r="J5" s="272" t="e">
        <f t="shared" si="4"/>
        <v>#DIV/0!</v>
      </c>
      <c r="K5" s="273" t="e">
        <f t="shared" si="5"/>
        <v>#DIV/0!</v>
      </c>
      <c r="L5" s="273" t="e">
        <f t="shared" si="6"/>
        <v>#DIV/0!</v>
      </c>
      <c r="M5" s="275" t="e">
        <f t="shared" si="7"/>
        <v>#DIV/0!</v>
      </c>
      <c r="N5" s="22"/>
      <c r="O5" s="443" t="s">
        <v>20</v>
      </c>
      <c r="P5" s="443"/>
      <c r="Q5" s="443"/>
      <c r="R5" s="282">
        <v>235</v>
      </c>
      <c r="S5" s="283" t="str">
        <f>IF('FMTC Main'!$E$5="Metric","kW","hp")</f>
        <v>hp</v>
      </c>
    </row>
    <row r="6" spans="1:19" ht="11.25" customHeight="1">
      <c r="A6" s="276" t="s">
        <v>730</v>
      </c>
      <c r="B6" s="280" t="s">
        <v>725</v>
      </c>
      <c r="C6" s="281"/>
      <c r="D6" s="269">
        <f t="shared" si="0"/>
        <v>0</v>
      </c>
      <c r="E6" s="279"/>
      <c r="F6" s="269">
        <f t="shared" si="1"/>
        <v>0</v>
      </c>
      <c r="G6" s="279"/>
      <c r="H6" s="269">
        <f t="shared" si="2"/>
        <v>0</v>
      </c>
      <c r="I6" s="271" t="e">
        <f t="shared" si="3"/>
        <v>#DIV/0!</v>
      </c>
      <c r="J6" s="272" t="e">
        <f t="shared" si="4"/>
        <v>#DIV/0!</v>
      </c>
      <c r="K6" s="273" t="e">
        <f t="shared" si="5"/>
        <v>#DIV/0!</v>
      </c>
      <c r="L6" s="273" t="e">
        <f t="shared" si="6"/>
        <v>#DIV/0!</v>
      </c>
      <c r="M6" s="275" t="e">
        <f t="shared" si="7"/>
        <v>#DIV/0!</v>
      </c>
      <c r="N6" s="22"/>
      <c r="O6" s="443" t="s">
        <v>14</v>
      </c>
      <c r="P6" s="443"/>
      <c r="Q6" s="443"/>
      <c r="R6" s="284">
        <v>280</v>
      </c>
      <c r="S6" s="285" t="str">
        <f>IF('FMTC Main'!$E$5="Metric","N-m","lb-ft")</f>
        <v>lb-ft</v>
      </c>
    </row>
    <row r="7" spans="1:19" ht="11.25" customHeight="1">
      <c r="A7" s="276" t="s">
        <v>729</v>
      </c>
      <c r="B7" s="280" t="s">
        <v>725</v>
      </c>
      <c r="C7" s="281"/>
      <c r="D7" s="269">
        <f t="shared" si="0"/>
        <v>0</v>
      </c>
      <c r="E7" s="279"/>
      <c r="F7" s="269">
        <f t="shared" si="1"/>
        <v>0</v>
      </c>
      <c r="G7" s="279"/>
      <c r="H7" s="269">
        <f t="shared" si="2"/>
        <v>0</v>
      </c>
      <c r="I7" s="271" t="e">
        <f t="shared" si="3"/>
        <v>#DIV/0!</v>
      </c>
      <c r="J7" s="272" t="e">
        <f t="shared" si="4"/>
        <v>#DIV/0!</v>
      </c>
      <c r="K7" s="273" t="e">
        <f t="shared" si="5"/>
        <v>#DIV/0!</v>
      </c>
      <c r="L7" s="273" t="e">
        <f t="shared" si="6"/>
        <v>#DIV/0!</v>
      </c>
      <c r="M7" s="275" t="e">
        <f t="shared" si="7"/>
        <v>#DIV/0!</v>
      </c>
      <c r="N7" s="22"/>
      <c r="O7" s="443" t="s">
        <v>25</v>
      </c>
      <c r="P7" s="443"/>
      <c r="Q7" s="443"/>
      <c r="R7" s="286">
        <v>3125</v>
      </c>
      <c r="S7" s="285" t="str">
        <f>IF('FMTC Main'!$E$5="Metric","kg","lbs")</f>
        <v>lbs</v>
      </c>
    </row>
    <row r="8" spans="1:19" ht="11.25" customHeight="1">
      <c r="A8" s="276" t="s">
        <v>731</v>
      </c>
      <c r="B8" s="277" t="s">
        <v>728</v>
      </c>
      <c r="C8" s="278">
        <v>333</v>
      </c>
      <c r="D8" s="269">
        <f t="shared" si="0"/>
        <v>1.4170212765957446</v>
      </c>
      <c r="E8" s="279">
        <v>397</v>
      </c>
      <c r="F8" s="269">
        <f t="shared" si="1"/>
        <v>1.4178571428571429</v>
      </c>
      <c r="G8" s="279">
        <v>3149</v>
      </c>
      <c r="H8" s="269">
        <f t="shared" si="2"/>
        <v>1.0076799999999999</v>
      </c>
      <c r="I8" s="271">
        <f t="shared" si="3"/>
        <v>0.10574785646236901</v>
      </c>
      <c r="J8" s="272">
        <f t="shared" si="4"/>
        <v>0.12607176881549698</v>
      </c>
      <c r="K8" s="273">
        <f t="shared" si="5"/>
        <v>1.4062214955102261</v>
      </c>
      <c r="L8" s="273">
        <f t="shared" si="6"/>
        <v>1.4070509912443863</v>
      </c>
      <c r="M8" s="275">
        <f t="shared" si="7"/>
        <v>2.8132724867546122</v>
      </c>
      <c r="N8" s="22"/>
      <c r="O8" s="22"/>
      <c r="P8" s="22"/>
      <c r="Q8" s="22"/>
      <c r="R8" s="22"/>
      <c r="S8" s="22"/>
    </row>
    <row r="9" spans="1:19" ht="11.25" customHeight="1">
      <c r="A9" s="276" t="s">
        <v>731</v>
      </c>
      <c r="B9" s="277" t="s">
        <v>724</v>
      </c>
      <c r="C9" s="278">
        <v>333</v>
      </c>
      <c r="D9" s="269">
        <f t="shared" si="0"/>
        <v>1.4170212765957446</v>
      </c>
      <c r="E9" s="279">
        <v>397</v>
      </c>
      <c r="F9" s="269">
        <f t="shared" si="1"/>
        <v>1.4178571428571429</v>
      </c>
      <c r="G9" s="279">
        <v>3154</v>
      </c>
      <c r="H9" s="269">
        <f t="shared" si="2"/>
        <v>1.00928</v>
      </c>
      <c r="I9" s="271">
        <f t="shared" si="3"/>
        <v>0.10558021559923907</v>
      </c>
      <c r="J9" s="272">
        <f t="shared" si="4"/>
        <v>0.1258719086873811</v>
      </c>
      <c r="K9" s="273">
        <f t="shared" si="5"/>
        <v>1.4039922287132853</v>
      </c>
      <c r="L9" s="273">
        <f t="shared" si="6"/>
        <v>1.4048204094573786</v>
      </c>
      <c r="M9" s="275">
        <f t="shared" si="7"/>
        <v>2.8088126381706635</v>
      </c>
      <c r="N9" s="22"/>
      <c r="O9" s="644" t="s">
        <v>617</v>
      </c>
      <c r="P9" s="644"/>
      <c r="Q9" s="645"/>
      <c r="R9" s="265"/>
      <c r="S9" s="265"/>
    </row>
    <row r="10" spans="1:19" ht="11.25" customHeight="1">
      <c r="A10" s="276" t="s">
        <v>730</v>
      </c>
      <c r="B10" s="277" t="s">
        <v>728</v>
      </c>
      <c r="C10" s="278">
        <v>312</v>
      </c>
      <c r="D10" s="269">
        <f t="shared" si="0"/>
        <v>1.327659574468085</v>
      </c>
      <c r="E10" s="279">
        <v>372</v>
      </c>
      <c r="F10" s="269">
        <f t="shared" si="1"/>
        <v>1.3285714285714285</v>
      </c>
      <c r="G10" s="279">
        <v>3144</v>
      </c>
      <c r="H10" s="269">
        <f t="shared" si="2"/>
        <v>1.0060800000000001</v>
      </c>
      <c r="I10" s="271">
        <f t="shared" si="3"/>
        <v>9.9236641221374045E-2</v>
      </c>
      <c r="J10" s="272">
        <f t="shared" si="4"/>
        <v>0.1183206106870229</v>
      </c>
      <c r="K10" s="273">
        <f t="shared" si="5"/>
        <v>1.3196361864544419</v>
      </c>
      <c r="L10" s="273">
        <f t="shared" si="6"/>
        <v>1.3205425299890947</v>
      </c>
      <c r="M10" s="275">
        <f t="shared" si="7"/>
        <v>2.6401787164435366</v>
      </c>
      <c r="N10" s="22"/>
      <c r="O10" s="443" t="s">
        <v>20</v>
      </c>
      <c r="P10" s="443"/>
      <c r="Q10" s="443"/>
      <c r="R10" s="282">
        <v>282</v>
      </c>
      <c r="S10" s="283" t="str">
        <f>IF('FMTC Main'!$E$5="Metric","kW","hp")</f>
        <v>hp</v>
      </c>
    </row>
    <row r="11" spans="1:19" ht="11.25" customHeight="1">
      <c r="A11" s="276" t="s">
        <v>730</v>
      </c>
      <c r="B11" s="277" t="s">
        <v>724</v>
      </c>
      <c r="C11" s="278">
        <v>312</v>
      </c>
      <c r="D11" s="269">
        <f t="shared" si="0"/>
        <v>1.327659574468085</v>
      </c>
      <c r="E11" s="279">
        <v>372</v>
      </c>
      <c r="F11" s="269">
        <f t="shared" si="1"/>
        <v>1.3285714285714285</v>
      </c>
      <c r="G11" s="279">
        <v>3153</v>
      </c>
      <c r="H11" s="269">
        <f t="shared" si="2"/>
        <v>1.0089600000000001</v>
      </c>
      <c r="I11" s="271">
        <f t="shared" si="3"/>
        <v>9.8953377735490011E-2</v>
      </c>
      <c r="J11" s="272">
        <f t="shared" si="4"/>
        <v>0.11798287345385347</v>
      </c>
      <c r="K11" s="273">
        <f t="shared" si="5"/>
        <v>1.3158693847804521</v>
      </c>
      <c r="L11" s="273">
        <f t="shared" si="6"/>
        <v>1.3167731412260431</v>
      </c>
      <c r="M11" s="275">
        <f t="shared" si="7"/>
        <v>2.632642526006495</v>
      </c>
      <c r="N11" s="22"/>
      <c r="O11" s="443" t="s">
        <v>14</v>
      </c>
      <c r="P11" s="443"/>
      <c r="Q11" s="443"/>
      <c r="R11" s="284">
        <v>336</v>
      </c>
      <c r="S11" s="285" t="str">
        <f>IF('FMTC Main'!$E$5="Metric","N-m","lb-ft")</f>
        <v>lb-ft</v>
      </c>
    </row>
    <row r="12" spans="1:19" ht="11.25" customHeight="1">
      <c r="A12" s="276" t="s">
        <v>731</v>
      </c>
      <c r="B12" s="277" t="s">
        <v>726</v>
      </c>
      <c r="C12" s="278">
        <v>300</v>
      </c>
      <c r="D12" s="269">
        <f t="shared" si="0"/>
        <v>1.2765957446808511</v>
      </c>
      <c r="E12" s="279">
        <v>357</v>
      </c>
      <c r="F12" s="269">
        <f t="shared" si="1"/>
        <v>1.2749999999999999</v>
      </c>
      <c r="G12" s="279">
        <v>3180</v>
      </c>
      <c r="H12" s="269">
        <f t="shared" si="2"/>
        <v>1.0176000000000001</v>
      </c>
      <c r="I12" s="271">
        <f t="shared" si="3"/>
        <v>9.4339622641509441E-2</v>
      </c>
      <c r="J12" s="272">
        <f t="shared" si="4"/>
        <v>0.11226415094339623</v>
      </c>
      <c r="K12" s="273">
        <f t="shared" si="5"/>
        <v>1.2545162585307106</v>
      </c>
      <c r="L12" s="273">
        <f t="shared" si="6"/>
        <v>1.2529481132075471</v>
      </c>
      <c r="M12" s="275">
        <f t="shared" si="7"/>
        <v>2.5074643717382576</v>
      </c>
      <c r="N12" s="22"/>
      <c r="O12" s="443" t="s">
        <v>25</v>
      </c>
      <c r="P12" s="443"/>
      <c r="Q12" s="443"/>
      <c r="R12" s="286">
        <v>3140</v>
      </c>
      <c r="S12" s="285" t="str">
        <f>IF('FMTC Main'!$E$5="Metric","kg","lbs")</f>
        <v>lbs</v>
      </c>
    </row>
    <row r="13" spans="1:19" ht="11.25" customHeight="1">
      <c r="A13" s="276" t="s">
        <v>731</v>
      </c>
      <c r="B13" s="277" t="s">
        <v>589</v>
      </c>
      <c r="C13" s="278">
        <v>287</v>
      </c>
      <c r="D13" s="269">
        <f t="shared" si="0"/>
        <v>1.2212765957446809</v>
      </c>
      <c r="E13" s="279">
        <v>342</v>
      </c>
      <c r="F13" s="269">
        <f t="shared" si="1"/>
        <v>1.2214285714285715</v>
      </c>
      <c r="G13" s="279">
        <v>3125</v>
      </c>
      <c r="H13" s="269">
        <f t="shared" si="2"/>
        <v>1</v>
      </c>
      <c r="I13" s="271">
        <f t="shared" si="3"/>
        <v>9.1840000000000005E-2</v>
      </c>
      <c r="J13" s="272">
        <f t="shared" si="4"/>
        <v>0.10944</v>
      </c>
      <c r="K13" s="273">
        <f t="shared" si="5"/>
        <v>1.2212765957446809</v>
      </c>
      <c r="L13" s="273">
        <f t="shared" si="6"/>
        <v>1.2214285714285715</v>
      </c>
      <c r="M13" s="275">
        <f t="shared" si="7"/>
        <v>2.4427051671732523</v>
      </c>
      <c r="N13" s="22"/>
      <c r="O13" s="22"/>
      <c r="P13" s="22"/>
      <c r="Q13" s="22"/>
      <c r="R13" s="22"/>
      <c r="S13" s="22"/>
    </row>
    <row r="14" spans="1:19" ht="11.25" customHeight="1">
      <c r="A14" s="276" t="s">
        <v>731</v>
      </c>
      <c r="B14" s="277" t="s">
        <v>586</v>
      </c>
      <c r="C14" s="278">
        <v>274</v>
      </c>
      <c r="D14" s="269">
        <f t="shared" si="0"/>
        <v>1.1659574468085105</v>
      </c>
      <c r="E14" s="279">
        <v>327</v>
      </c>
      <c r="F14" s="269">
        <f t="shared" si="1"/>
        <v>1.1678571428571429</v>
      </c>
      <c r="G14" s="279">
        <v>3028</v>
      </c>
      <c r="H14" s="269">
        <f t="shared" si="2"/>
        <v>0.96896000000000004</v>
      </c>
      <c r="I14" s="271">
        <f t="shared" si="3"/>
        <v>9.0488771466314399E-2</v>
      </c>
      <c r="J14" s="272">
        <f t="shared" si="4"/>
        <v>0.10799207397622193</v>
      </c>
      <c r="K14" s="273">
        <f t="shared" si="5"/>
        <v>1.2033081312009892</v>
      </c>
      <c r="L14" s="273">
        <f t="shared" si="6"/>
        <v>1.2052686827703341</v>
      </c>
      <c r="M14" s="275">
        <f t="shared" si="7"/>
        <v>2.4085768139713233</v>
      </c>
      <c r="N14" s="303"/>
      <c r="O14" s="303"/>
      <c r="P14" s="641" t="s">
        <v>1021</v>
      </c>
      <c r="Q14" s="642"/>
      <c r="R14" s="642"/>
      <c r="S14" s="643"/>
    </row>
    <row r="15" spans="1:19" ht="11.25" customHeight="1">
      <c r="A15" s="276" t="s">
        <v>729</v>
      </c>
      <c r="B15" s="277" t="s">
        <v>728</v>
      </c>
      <c r="C15" s="278">
        <v>282</v>
      </c>
      <c r="D15" s="269">
        <f t="shared" si="0"/>
        <v>1.2</v>
      </c>
      <c r="E15" s="279">
        <v>336</v>
      </c>
      <c r="F15" s="269">
        <f t="shared" si="1"/>
        <v>1.2</v>
      </c>
      <c r="G15" s="279">
        <v>3140</v>
      </c>
      <c r="H15" s="269">
        <f t="shared" si="2"/>
        <v>1.0047999999999999</v>
      </c>
      <c r="I15" s="271">
        <f t="shared" si="3"/>
        <v>8.9808917197452223E-2</v>
      </c>
      <c r="J15" s="272">
        <f t="shared" si="4"/>
        <v>0.1070063694267516</v>
      </c>
      <c r="K15" s="273">
        <f t="shared" si="5"/>
        <v>1.1942675159235669</v>
      </c>
      <c r="L15" s="273">
        <f t="shared" si="6"/>
        <v>1.1942675159235669</v>
      </c>
      <c r="M15" s="275">
        <f t="shared" si="7"/>
        <v>2.3885350318471339</v>
      </c>
      <c r="N15" s="303"/>
      <c r="O15" s="303"/>
      <c r="P15" s="307" t="s">
        <v>721</v>
      </c>
      <c r="Q15" s="308" t="s">
        <v>22</v>
      </c>
      <c r="R15" s="308" t="s">
        <v>1018</v>
      </c>
      <c r="S15" s="360" t="s">
        <v>1019</v>
      </c>
    </row>
    <row r="16" spans="1:19" ht="11.25" customHeight="1">
      <c r="A16" s="276" t="s">
        <v>730</v>
      </c>
      <c r="B16" s="277" t="s">
        <v>726</v>
      </c>
      <c r="C16" s="278">
        <v>286</v>
      </c>
      <c r="D16" s="269">
        <f t="shared" si="0"/>
        <v>1.2170212765957447</v>
      </c>
      <c r="E16" s="279">
        <v>341</v>
      </c>
      <c r="F16" s="269">
        <f t="shared" si="1"/>
        <v>1.2178571428571427</v>
      </c>
      <c r="G16" s="279">
        <v>3190</v>
      </c>
      <c r="H16" s="269">
        <f t="shared" si="2"/>
        <v>1.0207999999999999</v>
      </c>
      <c r="I16" s="271">
        <f t="shared" si="3"/>
        <v>8.9655172413793102E-2</v>
      </c>
      <c r="J16" s="272">
        <f t="shared" si="4"/>
        <v>0.10689655172413794</v>
      </c>
      <c r="K16" s="273">
        <f t="shared" si="5"/>
        <v>1.1922230374174616</v>
      </c>
      <c r="L16" s="273">
        <f t="shared" si="6"/>
        <v>1.1930418719211822</v>
      </c>
      <c r="M16" s="275">
        <f t="shared" si="7"/>
        <v>2.3852649093386438</v>
      </c>
      <c r="N16" s="303"/>
      <c r="O16" s="303"/>
      <c r="P16" s="362"/>
      <c r="Q16" s="362"/>
      <c r="R16" s="362"/>
      <c r="S16" s="361">
        <f>((P16*(Q16/100)*2)/25.4+R16)*IF('FMTC Main'!$E$5="Metric",0.0254,1)</f>
        <v>0</v>
      </c>
    </row>
    <row r="17" spans="1:20" ht="11.25" customHeight="1">
      <c r="A17" s="276" t="s">
        <v>729</v>
      </c>
      <c r="B17" s="277" t="s">
        <v>724</v>
      </c>
      <c r="C17" s="278">
        <v>282</v>
      </c>
      <c r="D17" s="269">
        <f t="shared" si="0"/>
        <v>1.2</v>
      </c>
      <c r="E17" s="279">
        <v>336</v>
      </c>
      <c r="F17" s="269">
        <f t="shared" si="1"/>
        <v>1.2</v>
      </c>
      <c r="G17" s="279">
        <v>3149</v>
      </c>
      <c r="H17" s="269">
        <f t="shared" si="2"/>
        <v>1.0076799999999999</v>
      </c>
      <c r="I17" s="271">
        <f t="shared" si="3"/>
        <v>8.9552238805970144E-2</v>
      </c>
      <c r="J17" s="272">
        <f t="shared" si="4"/>
        <v>0.10670053985392187</v>
      </c>
      <c r="K17" s="273">
        <f t="shared" si="5"/>
        <v>1.1908542394410924</v>
      </c>
      <c r="L17" s="273">
        <f t="shared" si="6"/>
        <v>1.1908542394410924</v>
      </c>
      <c r="M17" s="275">
        <f t="shared" si="7"/>
        <v>2.3817084788821847</v>
      </c>
      <c r="N17" s="303"/>
      <c r="O17" s="303"/>
      <c r="P17" s="362"/>
      <c r="Q17" s="362"/>
      <c r="R17" s="362"/>
      <c r="S17" s="361">
        <f>((P17*(Q17/100)*2)/25.4+R17)*IF('FMTC Main'!$E$5="Metric",0.0254,1)</f>
        <v>0</v>
      </c>
    </row>
    <row r="18" spans="1:20" ht="11.25" customHeight="1">
      <c r="A18" s="276" t="s">
        <v>731</v>
      </c>
      <c r="B18" s="277" t="s">
        <v>587</v>
      </c>
      <c r="C18" s="278">
        <v>325</v>
      </c>
      <c r="D18" s="269">
        <f t="shared" si="0"/>
        <v>1.3829787234042554</v>
      </c>
      <c r="E18" s="279">
        <v>328</v>
      </c>
      <c r="F18" s="269">
        <f t="shared" si="1"/>
        <v>1.1714285714285715</v>
      </c>
      <c r="G18" s="279">
        <v>3125</v>
      </c>
      <c r="H18" s="269">
        <f t="shared" si="2"/>
        <v>1</v>
      </c>
      <c r="I18" s="271">
        <f t="shared" si="3"/>
        <v>0.104</v>
      </c>
      <c r="J18" s="272">
        <f t="shared" si="4"/>
        <v>0.10496</v>
      </c>
      <c r="K18" s="273">
        <f t="shared" si="5"/>
        <v>1.3829787234042554</v>
      </c>
      <c r="L18" s="273">
        <f t="shared" si="6"/>
        <v>1.1714285714285715</v>
      </c>
      <c r="M18" s="275">
        <f t="shared" si="7"/>
        <v>2.5544072948328269</v>
      </c>
      <c r="N18" s="303"/>
      <c r="O18" s="303"/>
      <c r="P18" s="362"/>
      <c r="Q18" s="362"/>
      <c r="R18" s="362"/>
      <c r="S18" s="361">
        <f>((P18*(Q18/100)*2)/25.4+R18)*IF('FMTC Main'!$E$5="Metric",0.0254,1)</f>
        <v>0</v>
      </c>
    </row>
    <row r="19" spans="1:20" ht="11.25" customHeight="1">
      <c r="A19" s="276" t="s">
        <v>731</v>
      </c>
      <c r="B19" s="287" t="s">
        <v>584</v>
      </c>
      <c r="C19" s="288">
        <v>271</v>
      </c>
      <c r="D19" s="269">
        <f t="shared" si="0"/>
        <v>1.1531914893617021</v>
      </c>
      <c r="E19" s="279">
        <v>323</v>
      </c>
      <c r="F19" s="269">
        <f t="shared" si="1"/>
        <v>1.1535714285714285</v>
      </c>
      <c r="G19" s="279">
        <v>3125</v>
      </c>
      <c r="H19" s="269">
        <f t="shared" si="2"/>
        <v>1</v>
      </c>
      <c r="I19" s="271">
        <f t="shared" si="3"/>
        <v>8.6720000000000005E-2</v>
      </c>
      <c r="J19" s="272">
        <f t="shared" si="4"/>
        <v>0.10335999999999999</v>
      </c>
      <c r="K19" s="273">
        <f t="shared" si="5"/>
        <v>1.1531914893617021</v>
      </c>
      <c r="L19" s="273">
        <f t="shared" si="6"/>
        <v>1.1535714285714285</v>
      </c>
      <c r="M19" s="275">
        <f t="shared" si="7"/>
        <v>2.3067629179331304</v>
      </c>
      <c r="N19" s="303"/>
      <c r="O19" s="303"/>
      <c r="P19" s="362"/>
      <c r="Q19" s="362"/>
      <c r="R19" s="362"/>
      <c r="S19" s="361">
        <f>((P19*(Q19/100)*2)/25.4+R19)*IF('FMTC Main'!$E$5="Metric",0.0254,1)</f>
        <v>0</v>
      </c>
    </row>
    <row r="20" spans="1:20" ht="11.25" customHeight="1">
      <c r="A20" s="276" t="s">
        <v>731</v>
      </c>
      <c r="B20" s="280" t="s">
        <v>626</v>
      </c>
      <c r="C20" s="281">
        <v>269</v>
      </c>
      <c r="D20" s="269">
        <f t="shared" si="0"/>
        <v>1.1446808510638298</v>
      </c>
      <c r="E20" s="279">
        <v>321</v>
      </c>
      <c r="F20" s="269">
        <f t="shared" si="1"/>
        <v>1.1464285714285714</v>
      </c>
      <c r="G20" s="279">
        <v>3120</v>
      </c>
      <c r="H20" s="269">
        <f t="shared" si="2"/>
        <v>0.99839999999999995</v>
      </c>
      <c r="I20" s="271">
        <f t="shared" si="3"/>
        <v>8.6217948717948717E-2</v>
      </c>
      <c r="J20" s="272">
        <f t="shared" si="4"/>
        <v>0.10288461538461538</v>
      </c>
      <c r="K20" s="273">
        <f t="shared" si="5"/>
        <v>1.1465152755046373</v>
      </c>
      <c r="L20" s="273">
        <f t="shared" si="6"/>
        <v>1.1482657967032968</v>
      </c>
      <c r="M20" s="275">
        <f t="shared" si="7"/>
        <v>2.2947810722079338</v>
      </c>
      <c r="N20" s="303"/>
      <c r="O20" s="303"/>
      <c r="P20" s="362"/>
      <c r="Q20" s="362"/>
      <c r="R20" s="362"/>
      <c r="S20" s="361">
        <f>((P20*(Q20/100)*2)/25.4+R20)*IF('FMTC Main'!$E$5="Metric",0.0254,1)</f>
        <v>0</v>
      </c>
    </row>
    <row r="21" spans="1:20" ht="11.25" customHeight="1">
      <c r="A21" s="276" t="s">
        <v>731</v>
      </c>
      <c r="B21" s="287" t="s">
        <v>583</v>
      </c>
      <c r="C21" s="288">
        <v>268</v>
      </c>
      <c r="D21" s="269">
        <f t="shared" si="0"/>
        <v>1.1404255319148937</v>
      </c>
      <c r="E21" s="279">
        <v>319</v>
      </c>
      <c r="F21" s="269">
        <f t="shared" si="1"/>
        <v>1.1392857142857142</v>
      </c>
      <c r="G21" s="279">
        <v>3108</v>
      </c>
      <c r="H21" s="269">
        <f t="shared" si="2"/>
        <v>0.99456</v>
      </c>
      <c r="I21" s="271">
        <f t="shared" si="3"/>
        <v>8.6229086229086233E-2</v>
      </c>
      <c r="J21" s="272">
        <f t="shared" si="4"/>
        <v>0.10263835263835264</v>
      </c>
      <c r="K21" s="273">
        <f t="shared" si="5"/>
        <v>1.1466633807059341</v>
      </c>
      <c r="L21" s="273">
        <f t="shared" si="6"/>
        <v>1.1455173285530429</v>
      </c>
      <c r="M21" s="275">
        <f t="shared" si="7"/>
        <v>2.292180709258977</v>
      </c>
      <c r="N21" s="303"/>
      <c r="O21" s="303"/>
      <c r="P21" s="362"/>
      <c r="Q21" s="362"/>
      <c r="R21" s="362"/>
      <c r="S21" s="361">
        <f>((P21*(Q21/100)*2)/25.4+R21)*IF('FMTC Main'!$E$5="Metric",0.0254,1)</f>
        <v>0</v>
      </c>
    </row>
    <row r="22" spans="1:20" ht="11.25" customHeight="1">
      <c r="A22" s="276" t="s">
        <v>730</v>
      </c>
      <c r="B22" s="277" t="s">
        <v>589</v>
      </c>
      <c r="C22" s="278">
        <v>268</v>
      </c>
      <c r="D22" s="269">
        <f t="shared" si="0"/>
        <v>1.1404255319148937</v>
      </c>
      <c r="E22" s="279">
        <v>319</v>
      </c>
      <c r="F22" s="269">
        <f t="shared" si="1"/>
        <v>1.1392857142857142</v>
      </c>
      <c r="G22" s="279">
        <v>3125</v>
      </c>
      <c r="H22" s="269">
        <f t="shared" si="2"/>
        <v>1</v>
      </c>
      <c r="I22" s="271">
        <f t="shared" si="3"/>
        <v>8.5760000000000003E-2</v>
      </c>
      <c r="J22" s="272">
        <f t="shared" si="4"/>
        <v>0.10208</v>
      </c>
      <c r="K22" s="273">
        <f t="shared" si="5"/>
        <v>1.1404255319148937</v>
      </c>
      <c r="L22" s="273">
        <f t="shared" si="6"/>
        <v>1.1392857142857142</v>
      </c>
      <c r="M22" s="275">
        <f t="shared" si="7"/>
        <v>2.2797112462006082</v>
      </c>
      <c r="N22" s="303"/>
      <c r="O22" s="303"/>
      <c r="P22" s="362"/>
      <c r="Q22" s="362"/>
      <c r="R22" s="362"/>
      <c r="S22" s="361">
        <f>((P22*(Q22/100)*2)/25.4+R22)*IF('FMTC Main'!$E$5="Metric",0.0254,1)</f>
        <v>0</v>
      </c>
    </row>
    <row r="23" spans="1:20" ht="11.25" customHeight="1">
      <c r="A23" s="276" t="s">
        <v>731</v>
      </c>
      <c r="B23" s="277" t="s">
        <v>585</v>
      </c>
      <c r="C23" s="278">
        <v>264</v>
      </c>
      <c r="D23" s="269">
        <f t="shared" si="0"/>
        <v>1.123404255319149</v>
      </c>
      <c r="E23" s="279">
        <v>315</v>
      </c>
      <c r="F23" s="269">
        <f t="shared" si="1"/>
        <v>1.125</v>
      </c>
      <c r="G23" s="279">
        <v>3125</v>
      </c>
      <c r="H23" s="269">
        <f t="shared" si="2"/>
        <v>1</v>
      </c>
      <c r="I23" s="271">
        <f t="shared" si="3"/>
        <v>8.448E-2</v>
      </c>
      <c r="J23" s="272">
        <f t="shared" si="4"/>
        <v>0.1008</v>
      </c>
      <c r="K23" s="273">
        <f t="shared" si="5"/>
        <v>1.123404255319149</v>
      </c>
      <c r="L23" s="273">
        <f t="shared" si="6"/>
        <v>1.125</v>
      </c>
      <c r="M23" s="275">
        <f t="shared" si="7"/>
        <v>2.2484042553191488</v>
      </c>
      <c r="N23" s="303"/>
      <c r="O23" s="303"/>
      <c r="P23" s="362"/>
      <c r="Q23" s="362"/>
      <c r="R23" s="362"/>
      <c r="S23" s="361">
        <f>((P23*(Q23/100)*2)/25.4+R23)*IF('FMTC Main'!$E$5="Metric",0.0254,1)</f>
        <v>0</v>
      </c>
    </row>
    <row r="24" spans="1:20" ht="11.25" customHeight="1">
      <c r="A24" s="276" t="s">
        <v>730</v>
      </c>
      <c r="B24" s="277" t="s">
        <v>586</v>
      </c>
      <c r="C24" s="278">
        <v>260</v>
      </c>
      <c r="D24" s="269">
        <f t="shared" si="0"/>
        <v>1.1063829787234043</v>
      </c>
      <c r="E24" s="279">
        <v>309</v>
      </c>
      <c r="F24" s="269">
        <f t="shared" si="1"/>
        <v>1.1035714285714286</v>
      </c>
      <c r="G24" s="279">
        <v>3081</v>
      </c>
      <c r="H24" s="269">
        <f t="shared" si="2"/>
        <v>0.98592000000000002</v>
      </c>
      <c r="I24" s="271">
        <f t="shared" si="3"/>
        <v>8.4388185654008435E-2</v>
      </c>
      <c r="J24" s="272">
        <f t="shared" si="4"/>
        <v>0.10029211295034079</v>
      </c>
      <c r="K24" s="273">
        <f t="shared" si="5"/>
        <v>1.1221833198671336</v>
      </c>
      <c r="L24" s="273">
        <f t="shared" si="6"/>
        <v>1.1193316177493393</v>
      </c>
      <c r="M24" s="275">
        <f t="shared" si="7"/>
        <v>2.2415149376164729</v>
      </c>
      <c r="N24" s="303"/>
      <c r="O24" s="303"/>
      <c r="P24" s="362"/>
      <c r="Q24" s="362"/>
      <c r="R24" s="362"/>
      <c r="S24" s="361">
        <f>((P24*(Q24/100)*2)/25.4+R24)*IF('FMTC Main'!$E$5="Metric",0.0254,1)</f>
        <v>0</v>
      </c>
    </row>
    <row r="25" spans="1:20" ht="11.25" customHeight="1">
      <c r="A25" s="276" t="s">
        <v>731</v>
      </c>
      <c r="B25" s="277" t="s">
        <v>588</v>
      </c>
      <c r="C25" s="278">
        <v>263</v>
      </c>
      <c r="D25" s="269">
        <f t="shared" si="0"/>
        <v>1.1191489361702127</v>
      </c>
      <c r="E25" s="279">
        <v>313</v>
      </c>
      <c r="F25" s="269">
        <f t="shared" si="1"/>
        <v>1.1178571428571429</v>
      </c>
      <c r="G25" s="279">
        <v>3123</v>
      </c>
      <c r="H25" s="269">
        <f t="shared" si="2"/>
        <v>0.99936000000000003</v>
      </c>
      <c r="I25" s="271">
        <f t="shared" si="3"/>
        <v>8.4213896894012166E-2</v>
      </c>
      <c r="J25" s="272">
        <f t="shared" si="4"/>
        <v>0.10022414345180916</v>
      </c>
      <c r="K25" s="273">
        <f t="shared" si="5"/>
        <v>1.119865650186332</v>
      </c>
      <c r="L25" s="273">
        <f t="shared" si="6"/>
        <v>1.1185730295960843</v>
      </c>
      <c r="M25" s="275">
        <f t="shared" si="7"/>
        <v>2.2384386797824161</v>
      </c>
      <c r="N25" s="303"/>
      <c r="O25" s="303"/>
      <c r="P25" s="3"/>
      <c r="Q25" s="3"/>
      <c r="R25" s="3"/>
      <c r="S25" s="3"/>
      <c r="T25" s="22"/>
    </row>
    <row r="26" spans="1:20" ht="11.25" customHeight="1">
      <c r="A26" s="276" t="s">
        <v>729</v>
      </c>
      <c r="B26" s="277" t="s">
        <v>726</v>
      </c>
      <c r="C26" s="278">
        <v>266</v>
      </c>
      <c r="D26" s="269">
        <f t="shared" si="0"/>
        <v>1.1319148936170214</v>
      </c>
      <c r="E26" s="279">
        <v>317</v>
      </c>
      <c r="F26" s="269">
        <f t="shared" si="1"/>
        <v>1.1321428571428571</v>
      </c>
      <c r="G26" s="279">
        <v>3190</v>
      </c>
      <c r="H26" s="269">
        <f t="shared" si="2"/>
        <v>1.0207999999999999</v>
      </c>
      <c r="I26" s="271">
        <f t="shared" si="3"/>
        <v>8.3385579937304069E-2</v>
      </c>
      <c r="J26" s="272">
        <f t="shared" si="4"/>
        <v>9.9373040752351094E-2</v>
      </c>
      <c r="K26" s="273">
        <f t="shared" si="5"/>
        <v>1.1088507970386181</v>
      </c>
      <c r="L26" s="273">
        <f t="shared" si="6"/>
        <v>1.1090741155396329</v>
      </c>
      <c r="M26" s="275">
        <f t="shared" si="7"/>
        <v>2.2179249125782512</v>
      </c>
      <c r="N26" s="303"/>
      <c r="O26" s="303"/>
      <c r="P26" s="641" t="s">
        <v>1020</v>
      </c>
      <c r="Q26" s="642"/>
      <c r="R26" s="642"/>
      <c r="S26" s="643"/>
    </row>
    <row r="27" spans="1:20" ht="11.25" customHeight="1">
      <c r="A27" s="276" t="s">
        <v>730</v>
      </c>
      <c r="B27" s="277" t="s">
        <v>587</v>
      </c>
      <c r="C27" s="278">
        <v>292</v>
      </c>
      <c r="D27" s="269">
        <f t="shared" si="0"/>
        <v>1.2425531914893617</v>
      </c>
      <c r="E27" s="279">
        <v>310</v>
      </c>
      <c r="F27" s="269">
        <f t="shared" si="1"/>
        <v>1.1071428571428572</v>
      </c>
      <c r="G27" s="279">
        <v>3125</v>
      </c>
      <c r="H27" s="269">
        <f t="shared" si="2"/>
        <v>1</v>
      </c>
      <c r="I27" s="271">
        <f t="shared" si="3"/>
        <v>9.3439999999999995E-2</v>
      </c>
      <c r="J27" s="272">
        <f t="shared" si="4"/>
        <v>9.9199999999999997E-2</v>
      </c>
      <c r="K27" s="273">
        <f t="shared" si="5"/>
        <v>1.2425531914893617</v>
      </c>
      <c r="L27" s="273">
        <f t="shared" si="6"/>
        <v>1.1071428571428572</v>
      </c>
      <c r="M27" s="275">
        <f t="shared" si="7"/>
        <v>2.3496960486322189</v>
      </c>
      <c r="N27" s="303"/>
      <c r="O27" s="303"/>
      <c r="P27" s="307" t="s">
        <v>721</v>
      </c>
      <c r="Q27" s="308" t="s">
        <v>22</v>
      </c>
      <c r="R27" s="308" t="s">
        <v>1018</v>
      </c>
      <c r="S27" s="360" t="s">
        <v>1019</v>
      </c>
    </row>
    <row r="28" spans="1:20" ht="11.25" customHeight="1">
      <c r="A28" s="276" t="s">
        <v>731</v>
      </c>
      <c r="B28" s="287" t="s">
        <v>582</v>
      </c>
      <c r="C28" s="288">
        <v>260</v>
      </c>
      <c r="D28" s="269">
        <f t="shared" si="0"/>
        <v>1.1063829787234043</v>
      </c>
      <c r="E28" s="279">
        <v>309</v>
      </c>
      <c r="F28" s="269">
        <f t="shared" si="1"/>
        <v>1.1035714285714286</v>
      </c>
      <c r="G28" s="279">
        <v>3119</v>
      </c>
      <c r="H28" s="269">
        <f t="shared" si="2"/>
        <v>0.99807999999999997</v>
      </c>
      <c r="I28" s="271">
        <f t="shared" si="3"/>
        <v>8.336005129849311E-2</v>
      </c>
      <c r="J28" s="272">
        <f t="shared" si="4"/>
        <v>9.9070214812439883E-2</v>
      </c>
      <c r="K28" s="273">
        <f t="shared" si="5"/>
        <v>1.1085113204586849</v>
      </c>
      <c r="L28" s="273">
        <f t="shared" si="6"/>
        <v>1.1056943617459809</v>
      </c>
      <c r="M28" s="275">
        <f t="shared" si="7"/>
        <v>2.2142056822046663</v>
      </c>
      <c r="N28" s="303"/>
      <c r="O28" s="303"/>
      <c r="P28" s="362"/>
      <c r="Q28" s="362"/>
      <c r="R28" s="362"/>
      <c r="S28" s="361">
        <f>((P28*(Q28/100)*2)/25.4+R28)*IF('FMTC Main'!$E$5="Metric",0.0254,1)</f>
        <v>0</v>
      </c>
    </row>
    <row r="29" spans="1:20" ht="11.25" customHeight="1">
      <c r="A29" s="276" t="s">
        <v>731</v>
      </c>
      <c r="B29" s="277" t="s">
        <v>727</v>
      </c>
      <c r="C29" s="278">
        <v>281</v>
      </c>
      <c r="D29" s="269">
        <f t="shared" si="0"/>
        <v>1.1957446808510639</v>
      </c>
      <c r="E29" s="279">
        <v>314</v>
      </c>
      <c r="F29" s="269">
        <f t="shared" si="1"/>
        <v>1.1214285714285714</v>
      </c>
      <c r="G29" s="279">
        <v>3180</v>
      </c>
      <c r="H29" s="269">
        <f t="shared" si="2"/>
        <v>1.0176000000000001</v>
      </c>
      <c r="I29" s="271">
        <f t="shared" si="3"/>
        <v>8.8364779874213831E-2</v>
      </c>
      <c r="J29" s="272">
        <f t="shared" si="4"/>
        <v>9.874213836477988E-2</v>
      </c>
      <c r="K29" s="273">
        <f t="shared" si="5"/>
        <v>1.1750635621570988</v>
      </c>
      <c r="L29" s="273">
        <f t="shared" si="6"/>
        <v>1.1020327942497754</v>
      </c>
      <c r="M29" s="275">
        <f t="shared" si="7"/>
        <v>2.277096356406874</v>
      </c>
      <c r="N29" s="303"/>
      <c r="O29" s="303"/>
      <c r="P29" s="362"/>
      <c r="Q29" s="362"/>
      <c r="R29" s="362"/>
      <c r="S29" s="361">
        <f>((P29*(Q29/100)*2)/25.4+R29)*IF('FMTC Main'!$E$5="Metric",0.0254,1)</f>
        <v>0</v>
      </c>
    </row>
    <row r="30" spans="1:20" ht="11.25" customHeight="1">
      <c r="A30" s="276" t="s">
        <v>730</v>
      </c>
      <c r="B30" s="289" t="s">
        <v>584</v>
      </c>
      <c r="C30" s="290">
        <v>258</v>
      </c>
      <c r="D30" s="269">
        <f t="shared" si="0"/>
        <v>1.0978723404255319</v>
      </c>
      <c r="E30" s="291">
        <v>307</v>
      </c>
      <c r="F30" s="269">
        <f t="shared" si="1"/>
        <v>1.0964285714285715</v>
      </c>
      <c r="G30" s="291">
        <v>3125</v>
      </c>
      <c r="H30" s="269">
        <f t="shared" si="2"/>
        <v>1</v>
      </c>
      <c r="I30" s="271">
        <f t="shared" si="3"/>
        <v>8.2559999999999995E-2</v>
      </c>
      <c r="J30" s="272">
        <f t="shared" si="4"/>
        <v>9.8239999999999994E-2</v>
      </c>
      <c r="K30" s="273">
        <f t="shared" si="5"/>
        <v>1.0978723404255319</v>
      </c>
      <c r="L30" s="273">
        <f t="shared" si="6"/>
        <v>1.0964285714285715</v>
      </c>
      <c r="M30" s="275">
        <f t="shared" si="7"/>
        <v>2.1943009118541035</v>
      </c>
      <c r="N30" s="303"/>
      <c r="O30" s="303"/>
      <c r="P30" s="362"/>
      <c r="Q30" s="362"/>
      <c r="R30" s="362"/>
      <c r="S30" s="361">
        <f>((P30*(Q30/100)*2)/25.4+R30)*IF('FMTC Main'!$E$5="Metric",0.0254,1)</f>
        <v>0</v>
      </c>
    </row>
    <row r="31" spans="1:20" ht="11.25" customHeight="1">
      <c r="A31" s="276" t="s">
        <v>730</v>
      </c>
      <c r="B31" s="280" t="s">
        <v>626</v>
      </c>
      <c r="C31" s="281">
        <v>257</v>
      </c>
      <c r="D31" s="269">
        <f t="shared" si="0"/>
        <v>1.0936170212765957</v>
      </c>
      <c r="E31" s="291">
        <v>306</v>
      </c>
      <c r="F31" s="269">
        <f t="shared" si="1"/>
        <v>1.0928571428571427</v>
      </c>
      <c r="G31" s="291">
        <v>3122</v>
      </c>
      <c r="H31" s="269">
        <f t="shared" si="2"/>
        <v>0.99904000000000004</v>
      </c>
      <c r="I31" s="271">
        <f t="shared" si="3"/>
        <v>8.2319026265214604E-2</v>
      </c>
      <c r="J31" s="272">
        <f t="shared" si="4"/>
        <v>9.8014093529788598E-2</v>
      </c>
      <c r="K31" s="273">
        <f t="shared" si="5"/>
        <v>1.09466790246296</v>
      </c>
      <c r="L31" s="273">
        <f t="shared" si="6"/>
        <v>1.0939072938592476</v>
      </c>
      <c r="M31" s="275">
        <f t="shared" si="7"/>
        <v>2.1885751963222075</v>
      </c>
      <c r="N31" s="303"/>
      <c r="O31" s="303"/>
      <c r="P31" s="362"/>
      <c r="Q31" s="362"/>
      <c r="R31" s="362"/>
      <c r="S31" s="361">
        <f>((P31*(Q31/100)*2)/25.4+R31)*IF('FMTC Main'!$E$5="Metric",0.0254,1)</f>
        <v>0</v>
      </c>
    </row>
    <row r="32" spans="1:20" ht="11.25" customHeight="1">
      <c r="A32" s="276" t="s">
        <v>730</v>
      </c>
      <c r="B32" s="289" t="s">
        <v>583</v>
      </c>
      <c r="C32" s="290">
        <v>256</v>
      </c>
      <c r="D32" s="269">
        <f t="shared" si="0"/>
        <v>1.0893617021276596</v>
      </c>
      <c r="E32" s="291">
        <v>305</v>
      </c>
      <c r="F32" s="269">
        <f t="shared" si="1"/>
        <v>1.0892857142857142</v>
      </c>
      <c r="G32" s="291">
        <v>3125</v>
      </c>
      <c r="H32" s="269">
        <f t="shared" si="2"/>
        <v>1</v>
      </c>
      <c r="I32" s="271">
        <f t="shared" si="3"/>
        <v>8.1920000000000007E-2</v>
      </c>
      <c r="J32" s="272">
        <f t="shared" si="4"/>
        <v>9.7600000000000006E-2</v>
      </c>
      <c r="K32" s="273">
        <f t="shared" si="5"/>
        <v>1.0893617021276596</v>
      </c>
      <c r="L32" s="273">
        <f t="shared" si="6"/>
        <v>1.0892857142857142</v>
      </c>
      <c r="M32" s="275">
        <f t="shared" si="7"/>
        <v>2.1786474164133738</v>
      </c>
      <c r="N32" s="303"/>
      <c r="O32" s="303"/>
      <c r="P32" s="362"/>
      <c r="Q32" s="362"/>
      <c r="R32" s="362"/>
      <c r="S32" s="361">
        <f>((P32*(Q32/100)*2)/25.4+R32)*IF('FMTC Main'!$E$5="Metric",0.0254,1)</f>
        <v>0</v>
      </c>
    </row>
    <row r="33" spans="1:19" ht="11.25" customHeight="1">
      <c r="A33" s="276" t="s">
        <v>730</v>
      </c>
      <c r="B33" s="277" t="s">
        <v>585</v>
      </c>
      <c r="C33" s="278">
        <v>254</v>
      </c>
      <c r="D33" s="269">
        <f t="shared" si="0"/>
        <v>1.0808510638297872</v>
      </c>
      <c r="E33" s="279">
        <v>302</v>
      </c>
      <c r="F33" s="269">
        <f t="shared" si="1"/>
        <v>1.0785714285714285</v>
      </c>
      <c r="G33" s="279">
        <v>3125</v>
      </c>
      <c r="H33" s="269">
        <f t="shared" si="2"/>
        <v>1</v>
      </c>
      <c r="I33" s="271">
        <f t="shared" si="3"/>
        <v>8.1280000000000005E-2</v>
      </c>
      <c r="J33" s="272">
        <f t="shared" si="4"/>
        <v>9.6640000000000004E-2</v>
      </c>
      <c r="K33" s="273">
        <f t="shared" si="5"/>
        <v>1.0808510638297872</v>
      </c>
      <c r="L33" s="273">
        <f t="shared" si="6"/>
        <v>1.0785714285714285</v>
      </c>
      <c r="M33" s="275">
        <f t="shared" si="7"/>
        <v>2.159422492401216</v>
      </c>
      <c r="N33" s="303"/>
      <c r="O33" s="303"/>
      <c r="P33" s="362"/>
      <c r="Q33" s="362"/>
      <c r="R33" s="362"/>
      <c r="S33" s="361">
        <f>((P33*(Q33/100)*2)/25.4+R33)*IF('FMTC Main'!$E$5="Metric",0.0254,1)</f>
        <v>0</v>
      </c>
    </row>
    <row r="34" spans="1:19" ht="11.25" customHeight="1">
      <c r="A34" s="276" t="s">
        <v>730</v>
      </c>
      <c r="B34" s="277" t="s">
        <v>588</v>
      </c>
      <c r="C34" s="278">
        <v>252</v>
      </c>
      <c r="D34" s="269">
        <f t="shared" si="0"/>
        <v>1.0723404255319149</v>
      </c>
      <c r="E34" s="279">
        <v>301</v>
      </c>
      <c r="F34" s="269">
        <f t="shared" si="1"/>
        <v>1.075</v>
      </c>
      <c r="G34" s="279">
        <v>3124</v>
      </c>
      <c r="H34" s="269">
        <f t="shared" si="2"/>
        <v>0.99968000000000001</v>
      </c>
      <c r="I34" s="271">
        <f t="shared" si="3"/>
        <v>8.0665813060179253E-2</v>
      </c>
      <c r="J34" s="272">
        <f t="shared" si="4"/>
        <v>9.6350832266325223E-2</v>
      </c>
      <c r="K34" s="273">
        <f t="shared" si="5"/>
        <v>1.0726836843108944</v>
      </c>
      <c r="L34" s="273">
        <f t="shared" si="6"/>
        <v>1.0753441101152368</v>
      </c>
      <c r="M34" s="275">
        <f t="shared" si="7"/>
        <v>2.148027794426131</v>
      </c>
      <c r="N34" s="303"/>
      <c r="O34" s="303"/>
      <c r="P34" s="362"/>
      <c r="Q34" s="362"/>
      <c r="R34" s="362"/>
      <c r="S34" s="361">
        <f>((P34*(Q34/100)*2)/25.4+R34)*IF('FMTC Main'!$E$5="Metric",0.0254,1)</f>
        <v>0</v>
      </c>
    </row>
    <row r="35" spans="1:19" ht="11.25" customHeight="1">
      <c r="A35" s="276" t="s">
        <v>730</v>
      </c>
      <c r="B35" s="287" t="s">
        <v>582</v>
      </c>
      <c r="C35" s="288">
        <v>251</v>
      </c>
      <c r="D35" s="269">
        <f t="shared" si="0"/>
        <v>1.0680851063829788</v>
      </c>
      <c r="E35" s="279">
        <v>299</v>
      </c>
      <c r="F35" s="269">
        <f t="shared" si="1"/>
        <v>1.0678571428571428</v>
      </c>
      <c r="G35" s="279">
        <v>3122</v>
      </c>
      <c r="H35" s="269">
        <f t="shared" si="2"/>
        <v>0.99904000000000004</v>
      </c>
      <c r="I35" s="271">
        <f t="shared" ref="I35:I51" si="8">C35/G35</f>
        <v>8.0397181294042275E-2</v>
      </c>
      <c r="J35" s="272">
        <f t="shared" ref="J35:J51" si="9">E35/G35</f>
        <v>9.5771941063420879E-2</v>
      </c>
      <c r="K35" s="273">
        <f t="shared" ref="K35:K51" si="10">D35/H35</f>
        <v>1.0691114533782218</v>
      </c>
      <c r="L35" s="273">
        <f t="shared" ref="L35:L51" si="11">F35/H35</f>
        <v>1.0688832707971081</v>
      </c>
      <c r="M35" s="275">
        <f t="shared" ref="M35:M51" si="12">(D35+F35)/H35</f>
        <v>2.1379947241753303</v>
      </c>
      <c r="N35" s="303"/>
      <c r="O35" s="303"/>
      <c r="P35" s="362"/>
      <c r="Q35" s="362"/>
      <c r="R35" s="362"/>
      <c r="S35" s="361">
        <f>((P35*(Q35/100)*2)/25.4+R35)*IF('FMTC Main'!$E$5="Metric",0.0254,1)</f>
        <v>0</v>
      </c>
    </row>
    <row r="36" spans="1:19" ht="11.25" customHeight="1">
      <c r="A36" s="276" t="s">
        <v>729</v>
      </c>
      <c r="B36" s="277" t="s">
        <v>589</v>
      </c>
      <c r="C36" s="278">
        <v>250</v>
      </c>
      <c r="D36" s="269">
        <f t="shared" si="0"/>
        <v>1.0638297872340425</v>
      </c>
      <c r="E36" s="279">
        <v>298</v>
      </c>
      <c r="F36" s="269">
        <f t="shared" si="1"/>
        <v>1.0642857142857143</v>
      </c>
      <c r="G36" s="279">
        <v>3125</v>
      </c>
      <c r="H36" s="269">
        <f t="shared" si="2"/>
        <v>1</v>
      </c>
      <c r="I36" s="271">
        <f t="shared" si="8"/>
        <v>0.08</v>
      </c>
      <c r="J36" s="272">
        <f t="shared" si="9"/>
        <v>9.536E-2</v>
      </c>
      <c r="K36" s="273">
        <f t="shared" si="10"/>
        <v>1.0638297872340425</v>
      </c>
      <c r="L36" s="273">
        <f t="shared" si="11"/>
        <v>1.0642857142857143</v>
      </c>
      <c r="M36" s="275">
        <f t="shared" si="12"/>
        <v>2.1281155015197566</v>
      </c>
      <c r="N36" s="303"/>
      <c r="O36" s="303"/>
      <c r="P36" s="362"/>
      <c r="Q36" s="362"/>
      <c r="R36" s="362"/>
      <c r="S36" s="361">
        <f>((P36*(Q36/100)*2)/25.4+R36)*IF('FMTC Main'!$E$5="Metric",0.0254,1)</f>
        <v>0</v>
      </c>
    </row>
    <row r="37" spans="1:19" ht="11.25" customHeight="1">
      <c r="A37" s="276" t="s">
        <v>730</v>
      </c>
      <c r="B37" s="277" t="s">
        <v>727</v>
      </c>
      <c r="C37" s="278">
        <v>269</v>
      </c>
      <c r="D37" s="269">
        <f t="shared" si="0"/>
        <v>1.1446808510638298</v>
      </c>
      <c r="E37" s="279">
        <v>304</v>
      </c>
      <c r="F37" s="269">
        <f t="shared" si="1"/>
        <v>1.0857142857142856</v>
      </c>
      <c r="G37" s="279">
        <v>3190</v>
      </c>
      <c r="H37" s="269">
        <f t="shared" si="2"/>
        <v>1.0207999999999999</v>
      </c>
      <c r="I37" s="271">
        <f t="shared" si="8"/>
        <v>8.4326018808777423E-2</v>
      </c>
      <c r="J37" s="272">
        <f t="shared" si="9"/>
        <v>9.5297805642633224E-2</v>
      </c>
      <c r="K37" s="273">
        <f t="shared" si="10"/>
        <v>1.1213566330954445</v>
      </c>
      <c r="L37" s="273">
        <f t="shared" si="11"/>
        <v>1.0635915808329601</v>
      </c>
      <c r="M37" s="275">
        <f t="shared" si="12"/>
        <v>2.1849482139284051</v>
      </c>
      <c r="N37" s="22"/>
      <c r="O37" s="22"/>
      <c r="P37" s="22"/>
      <c r="Q37" s="22"/>
      <c r="R37" s="22"/>
      <c r="S37" s="22"/>
    </row>
    <row r="38" spans="1:19" ht="11.25" customHeight="1">
      <c r="A38" s="276" t="s">
        <v>731</v>
      </c>
      <c r="B38" s="277" t="s">
        <v>590</v>
      </c>
      <c r="C38" s="278">
        <v>251</v>
      </c>
      <c r="D38" s="269">
        <f t="shared" si="0"/>
        <v>1.0680851063829788</v>
      </c>
      <c r="E38" s="279">
        <v>300</v>
      </c>
      <c r="F38" s="269">
        <f t="shared" si="1"/>
        <v>1.0714285714285714</v>
      </c>
      <c r="G38" s="279">
        <v>3165</v>
      </c>
      <c r="H38" s="269">
        <f t="shared" si="2"/>
        <v>1.0127999999999999</v>
      </c>
      <c r="I38" s="271">
        <f t="shared" si="8"/>
        <v>7.9304897314375983E-2</v>
      </c>
      <c r="J38" s="272">
        <f t="shared" si="9"/>
        <v>9.4786729857819899E-2</v>
      </c>
      <c r="K38" s="273">
        <f t="shared" si="10"/>
        <v>1.0545864004571277</v>
      </c>
      <c r="L38" s="273">
        <f t="shared" si="11"/>
        <v>1.0578876100203114</v>
      </c>
      <c r="M38" s="275">
        <f t="shared" si="12"/>
        <v>2.1124740104774391</v>
      </c>
      <c r="N38" s="22"/>
      <c r="O38" s="22"/>
      <c r="P38" s="22"/>
      <c r="Q38" s="22"/>
      <c r="R38" s="22"/>
      <c r="S38" s="22"/>
    </row>
    <row r="39" spans="1:19" ht="11.25" customHeight="1">
      <c r="A39" s="276" t="s">
        <v>729</v>
      </c>
      <c r="B39" s="277" t="s">
        <v>586</v>
      </c>
      <c r="C39" s="278">
        <v>246</v>
      </c>
      <c r="D39" s="269">
        <f t="shared" si="0"/>
        <v>1.0468085106382978</v>
      </c>
      <c r="E39" s="279">
        <v>294</v>
      </c>
      <c r="F39" s="269">
        <f t="shared" si="1"/>
        <v>1.05</v>
      </c>
      <c r="G39" s="279">
        <v>3110</v>
      </c>
      <c r="H39" s="269">
        <f t="shared" si="2"/>
        <v>0.99519999999999997</v>
      </c>
      <c r="I39" s="271">
        <f t="shared" si="8"/>
        <v>7.9099678456591646E-2</v>
      </c>
      <c r="J39" s="272">
        <f t="shared" si="9"/>
        <v>9.4533762057877807E-2</v>
      </c>
      <c r="K39" s="273">
        <f t="shared" si="10"/>
        <v>1.0518574262844633</v>
      </c>
      <c r="L39" s="273">
        <f t="shared" si="11"/>
        <v>1.055064308681672</v>
      </c>
      <c r="M39" s="275">
        <f t="shared" si="12"/>
        <v>2.1069217349661358</v>
      </c>
      <c r="N39" s="22"/>
      <c r="O39" s="22"/>
      <c r="P39" s="22"/>
      <c r="Q39" s="22"/>
      <c r="R39" s="22"/>
      <c r="S39" s="22"/>
    </row>
    <row r="40" spans="1:19" ht="11.25" customHeight="1">
      <c r="A40" s="276" t="s">
        <v>729</v>
      </c>
      <c r="B40" s="277" t="s">
        <v>587</v>
      </c>
      <c r="C40" s="278">
        <v>258</v>
      </c>
      <c r="D40" s="269">
        <f t="shared" si="0"/>
        <v>1.0978723404255319</v>
      </c>
      <c r="E40" s="279">
        <v>294</v>
      </c>
      <c r="F40" s="269">
        <f t="shared" si="1"/>
        <v>1.05</v>
      </c>
      <c r="G40" s="279">
        <v>3125</v>
      </c>
      <c r="H40" s="269">
        <f t="shared" si="2"/>
        <v>1</v>
      </c>
      <c r="I40" s="271">
        <f t="shared" si="8"/>
        <v>8.2559999999999995E-2</v>
      </c>
      <c r="J40" s="272">
        <f t="shared" si="9"/>
        <v>9.4079999999999997E-2</v>
      </c>
      <c r="K40" s="273">
        <f t="shared" si="10"/>
        <v>1.0978723404255319</v>
      </c>
      <c r="L40" s="273">
        <f t="shared" si="11"/>
        <v>1.05</v>
      </c>
      <c r="M40" s="275">
        <f t="shared" si="12"/>
        <v>2.1478723404255318</v>
      </c>
      <c r="N40" s="22"/>
      <c r="O40" s="22"/>
      <c r="P40" s="22"/>
      <c r="Q40" s="22"/>
      <c r="R40" s="22"/>
      <c r="S40" s="22"/>
    </row>
    <row r="41" spans="1:19" ht="11.25" customHeight="1">
      <c r="A41" s="276" t="s">
        <v>731</v>
      </c>
      <c r="B41" s="287" t="s">
        <v>618</v>
      </c>
      <c r="C41" s="288">
        <v>303</v>
      </c>
      <c r="D41" s="269">
        <f>C41/$R$10</f>
        <v>1.074468085106383</v>
      </c>
      <c r="E41" s="279">
        <v>361</v>
      </c>
      <c r="F41" s="269">
        <f>E41/$R$11</f>
        <v>1.0744047619047619</v>
      </c>
      <c r="G41" s="279">
        <v>3218</v>
      </c>
      <c r="H41" s="269">
        <f>G41/$R$12</f>
        <v>1.0248407643312103</v>
      </c>
      <c r="I41" s="271">
        <f t="shared" si="8"/>
        <v>9.415786202610317E-2</v>
      </c>
      <c r="J41" s="272">
        <f t="shared" si="9"/>
        <v>0.11218147917961467</v>
      </c>
      <c r="K41" s="273">
        <f t="shared" si="10"/>
        <v>1.0484244211417162</v>
      </c>
      <c r="L41" s="273">
        <f t="shared" si="11"/>
        <v>1.0483626328094942</v>
      </c>
      <c r="M41" s="275">
        <f t="shared" si="12"/>
        <v>2.0967870539512101</v>
      </c>
      <c r="N41" s="22"/>
      <c r="O41" s="22"/>
      <c r="P41" s="22"/>
      <c r="Q41" s="22"/>
      <c r="R41" s="22"/>
      <c r="S41" s="22"/>
    </row>
    <row r="42" spans="1:19" ht="11.25" customHeight="1">
      <c r="A42" s="276" t="s">
        <v>729</v>
      </c>
      <c r="B42" s="287" t="s">
        <v>584</v>
      </c>
      <c r="C42" s="288">
        <v>246</v>
      </c>
      <c r="D42" s="269">
        <f t="shared" ref="D42:D47" si="13">C42/$R$5</f>
        <v>1.0468085106382978</v>
      </c>
      <c r="E42" s="279">
        <v>293</v>
      </c>
      <c r="F42" s="269">
        <f t="shared" ref="F42:F47" si="14">E42/$R$6</f>
        <v>1.0464285714285715</v>
      </c>
      <c r="G42" s="279">
        <v>3125</v>
      </c>
      <c r="H42" s="269">
        <f t="shared" ref="H42:H47" si="15">G42/$R$7</f>
        <v>1</v>
      </c>
      <c r="I42" s="271">
        <f t="shared" si="8"/>
        <v>7.8719999999999998E-2</v>
      </c>
      <c r="J42" s="272">
        <f t="shared" si="9"/>
        <v>9.3759999999999996E-2</v>
      </c>
      <c r="K42" s="273">
        <f t="shared" si="10"/>
        <v>1.0468085106382978</v>
      </c>
      <c r="L42" s="273">
        <f t="shared" si="11"/>
        <v>1.0464285714285715</v>
      </c>
      <c r="M42" s="275">
        <f t="shared" si="12"/>
        <v>2.0932370820668691</v>
      </c>
      <c r="N42" s="22"/>
      <c r="O42" s="22"/>
      <c r="P42" s="22"/>
      <c r="Q42" s="22"/>
      <c r="R42" s="22"/>
      <c r="S42" s="22"/>
    </row>
    <row r="43" spans="1:19" ht="11.25" customHeight="1">
      <c r="A43" s="276" t="s">
        <v>729</v>
      </c>
      <c r="B43" s="280" t="s">
        <v>626</v>
      </c>
      <c r="C43" s="281">
        <v>245</v>
      </c>
      <c r="D43" s="269">
        <f t="shared" si="13"/>
        <v>1.0425531914893618</v>
      </c>
      <c r="E43" s="279">
        <v>292</v>
      </c>
      <c r="F43" s="269">
        <f t="shared" si="14"/>
        <v>1.0428571428571429</v>
      </c>
      <c r="G43" s="279">
        <v>3124</v>
      </c>
      <c r="H43" s="269">
        <f t="shared" si="15"/>
        <v>0.99968000000000001</v>
      </c>
      <c r="I43" s="271">
        <f t="shared" si="8"/>
        <v>7.8425096030729835E-2</v>
      </c>
      <c r="J43" s="272">
        <f t="shared" si="9"/>
        <v>9.3469910371318826E-2</v>
      </c>
      <c r="K43" s="273">
        <f t="shared" si="10"/>
        <v>1.0428869153022584</v>
      </c>
      <c r="L43" s="273">
        <f t="shared" si="11"/>
        <v>1.0431909639656118</v>
      </c>
      <c r="M43" s="275">
        <f t="shared" si="12"/>
        <v>2.0860778792678705</v>
      </c>
      <c r="N43" s="22"/>
      <c r="O43" s="22"/>
      <c r="P43" s="22"/>
      <c r="Q43" s="22"/>
      <c r="R43" s="22"/>
      <c r="S43" s="22"/>
    </row>
    <row r="44" spans="1:19" ht="11.25" customHeight="1">
      <c r="A44" s="276" t="s">
        <v>729</v>
      </c>
      <c r="B44" s="277" t="s">
        <v>585</v>
      </c>
      <c r="C44" s="278">
        <v>244</v>
      </c>
      <c r="D44" s="269">
        <f t="shared" si="13"/>
        <v>1.0382978723404255</v>
      </c>
      <c r="E44" s="279">
        <v>291</v>
      </c>
      <c r="F44" s="269">
        <f t="shared" si="14"/>
        <v>1.0392857142857144</v>
      </c>
      <c r="G44" s="279">
        <v>3125</v>
      </c>
      <c r="H44" s="269">
        <f t="shared" si="15"/>
        <v>1</v>
      </c>
      <c r="I44" s="271">
        <f t="shared" si="8"/>
        <v>7.8079999999999997E-2</v>
      </c>
      <c r="J44" s="272">
        <f t="shared" si="9"/>
        <v>9.3119999999999994E-2</v>
      </c>
      <c r="K44" s="273">
        <f t="shared" si="10"/>
        <v>1.0382978723404255</v>
      </c>
      <c r="L44" s="273">
        <f t="shared" si="11"/>
        <v>1.0392857142857144</v>
      </c>
      <c r="M44" s="275">
        <f t="shared" si="12"/>
        <v>2.0775835866261398</v>
      </c>
      <c r="N44" s="22"/>
      <c r="O44" s="22"/>
      <c r="P44" s="22"/>
      <c r="Q44" s="22"/>
      <c r="R44" s="22"/>
      <c r="S44" s="22"/>
    </row>
    <row r="45" spans="1:19" ht="11.25" customHeight="1">
      <c r="A45" s="276" t="s">
        <v>729</v>
      </c>
      <c r="B45" s="277" t="s">
        <v>588</v>
      </c>
      <c r="C45" s="278">
        <v>243</v>
      </c>
      <c r="D45" s="269">
        <f t="shared" si="13"/>
        <v>1.0340425531914894</v>
      </c>
      <c r="E45" s="279">
        <v>290</v>
      </c>
      <c r="F45" s="269">
        <f t="shared" si="14"/>
        <v>1.0357142857142858</v>
      </c>
      <c r="G45" s="279">
        <v>3124.5</v>
      </c>
      <c r="H45" s="269">
        <f t="shared" si="15"/>
        <v>0.99983999999999995</v>
      </c>
      <c r="I45" s="271">
        <f t="shared" si="8"/>
        <v>7.7772443590974558E-2</v>
      </c>
      <c r="J45" s="272">
        <f t="shared" si="9"/>
        <v>9.2814850376060173E-2</v>
      </c>
      <c r="K45" s="273">
        <f t="shared" si="10"/>
        <v>1.0342080264757256</v>
      </c>
      <c r="L45" s="273">
        <f t="shared" si="11"/>
        <v>1.0358800265185288</v>
      </c>
      <c r="M45" s="275">
        <f t="shared" si="12"/>
        <v>2.070088052994254</v>
      </c>
      <c r="N45" s="22"/>
      <c r="O45" s="22"/>
      <c r="P45" s="22"/>
      <c r="Q45" s="22"/>
      <c r="R45" s="22"/>
      <c r="S45" s="22"/>
    </row>
    <row r="46" spans="1:19" ht="11.25" customHeight="1">
      <c r="A46" s="276" t="s">
        <v>730</v>
      </c>
      <c r="B46" s="277" t="s">
        <v>590</v>
      </c>
      <c r="C46" s="278">
        <v>245</v>
      </c>
      <c r="D46" s="269">
        <f t="shared" si="13"/>
        <v>1.0425531914893618</v>
      </c>
      <c r="E46" s="279">
        <v>292</v>
      </c>
      <c r="F46" s="269">
        <f t="shared" si="14"/>
        <v>1.0428571428571429</v>
      </c>
      <c r="G46" s="279">
        <v>3150</v>
      </c>
      <c r="H46" s="269">
        <f t="shared" si="15"/>
        <v>1.008</v>
      </c>
      <c r="I46" s="271">
        <f t="shared" si="8"/>
        <v>7.7777777777777779E-2</v>
      </c>
      <c r="J46" s="272">
        <f t="shared" si="9"/>
        <v>9.2698412698412697E-2</v>
      </c>
      <c r="K46" s="273">
        <f t="shared" si="10"/>
        <v>1.0342789598108748</v>
      </c>
      <c r="L46" s="273">
        <f t="shared" si="11"/>
        <v>1.0345804988662133</v>
      </c>
      <c r="M46" s="275">
        <f t="shared" si="12"/>
        <v>2.0688594586770881</v>
      </c>
      <c r="N46" s="22"/>
      <c r="O46" s="22"/>
      <c r="P46" s="22"/>
      <c r="Q46" s="22"/>
      <c r="R46" s="22"/>
      <c r="S46" s="22"/>
    </row>
    <row r="47" spans="1:19" ht="11.25" customHeight="1">
      <c r="A47" s="276" t="s">
        <v>729</v>
      </c>
      <c r="B47" s="287" t="s">
        <v>582</v>
      </c>
      <c r="C47" s="288">
        <v>243</v>
      </c>
      <c r="D47" s="269">
        <f t="shared" si="13"/>
        <v>1.0340425531914894</v>
      </c>
      <c r="E47" s="279">
        <v>289</v>
      </c>
      <c r="F47" s="269">
        <f t="shared" si="14"/>
        <v>1.0321428571428573</v>
      </c>
      <c r="G47" s="279">
        <v>3125</v>
      </c>
      <c r="H47" s="269">
        <f t="shared" si="15"/>
        <v>1</v>
      </c>
      <c r="I47" s="271">
        <f t="shared" si="8"/>
        <v>7.7759999999999996E-2</v>
      </c>
      <c r="J47" s="272">
        <f t="shared" si="9"/>
        <v>9.2480000000000007E-2</v>
      </c>
      <c r="K47" s="273">
        <f t="shared" si="10"/>
        <v>1.0340425531914894</v>
      </c>
      <c r="L47" s="273">
        <f t="shared" si="11"/>
        <v>1.0321428571428573</v>
      </c>
      <c r="M47" s="275">
        <f t="shared" si="12"/>
        <v>2.0661854103343469</v>
      </c>
      <c r="N47" s="22"/>
      <c r="O47" s="22"/>
      <c r="P47" s="22"/>
      <c r="Q47" s="22"/>
      <c r="R47" s="22"/>
      <c r="S47" s="22"/>
    </row>
    <row r="48" spans="1:19" ht="11.25" customHeight="1">
      <c r="A48" s="276" t="s">
        <v>730</v>
      </c>
      <c r="B48" s="287" t="s">
        <v>618</v>
      </c>
      <c r="C48" s="288">
        <v>294</v>
      </c>
      <c r="D48" s="269">
        <f>C48/$R$10</f>
        <v>1.0425531914893618</v>
      </c>
      <c r="E48" s="279">
        <v>350</v>
      </c>
      <c r="F48" s="269">
        <f>E48/$R$11</f>
        <v>1.0416666666666667</v>
      </c>
      <c r="G48" s="279">
        <v>3200</v>
      </c>
      <c r="H48" s="269">
        <f>G48/$R$12</f>
        <v>1.0191082802547771</v>
      </c>
      <c r="I48" s="271">
        <f t="shared" si="8"/>
        <v>9.1874999999999998E-2</v>
      </c>
      <c r="J48" s="272">
        <f t="shared" si="9"/>
        <v>0.109375</v>
      </c>
      <c r="K48" s="273">
        <f t="shared" si="10"/>
        <v>1.0230053191489363</v>
      </c>
      <c r="L48" s="273">
        <f t="shared" si="11"/>
        <v>1.0221354166666667</v>
      </c>
      <c r="M48" s="275">
        <f t="shared" si="12"/>
        <v>2.0451407358156031</v>
      </c>
      <c r="N48" s="22"/>
      <c r="O48" s="22"/>
      <c r="P48" s="22"/>
      <c r="Q48" s="22"/>
      <c r="R48" s="22"/>
      <c r="S48" s="22"/>
    </row>
    <row r="49" spans="1:19" ht="11.25" customHeight="1">
      <c r="A49" s="276" t="s">
        <v>729</v>
      </c>
      <c r="B49" s="277" t="s">
        <v>590</v>
      </c>
      <c r="C49" s="278">
        <v>240</v>
      </c>
      <c r="D49" s="269">
        <f>C49/$R$5</f>
        <v>1.0212765957446808</v>
      </c>
      <c r="E49" s="279">
        <v>286</v>
      </c>
      <c r="F49" s="269">
        <f>E49/$R$6</f>
        <v>1.0214285714285714</v>
      </c>
      <c r="G49" s="279">
        <v>3130</v>
      </c>
      <c r="H49" s="269">
        <f>G49/$R$7</f>
        <v>1.0016</v>
      </c>
      <c r="I49" s="271">
        <f t="shared" si="8"/>
        <v>7.6677316293929709E-2</v>
      </c>
      <c r="J49" s="272">
        <f t="shared" si="9"/>
        <v>9.1373801916932909E-2</v>
      </c>
      <c r="K49" s="273">
        <f t="shared" si="10"/>
        <v>1.0196451634831079</v>
      </c>
      <c r="L49" s="273">
        <f t="shared" si="11"/>
        <v>1.0197968963943405</v>
      </c>
      <c r="M49" s="275">
        <f t="shared" si="12"/>
        <v>2.0394420598774481</v>
      </c>
      <c r="N49" s="22"/>
      <c r="O49" s="22"/>
      <c r="P49" s="22"/>
      <c r="Q49" s="22"/>
      <c r="R49" s="22"/>
      <c r="S49" s="22"/>
    </row>
    <row r="50" spans="1:19" ht="11.25" customHeight="1">
      <c r="A50" s="276" t="s">
        <v>729</v>
      </c>
      <c r="B50" s="277" t="s">
        <v>727</v>
      </c>
      <c r="C50" s="278">
        <v>253</v>
      </c>
      <c r="D50" s="269">
        <f>C50/$R$5</f>
        <v>1.0765957446808512</v>
      </c>
      <c r="E50" s="279">
        <v>290</v>
      </c>
      <c r="F50" s="269">
        <f>E50/$R$6</f>
        <v>1.0357142857142858</v>
      </c>
      <c r="G50" s="279">
        <v>3190</v>
      </c>
      <c r="H50" s="269">
        <f>G50/$R$7</f>
        <v>1.0207999999999999</v>
      </c>
      <c r="I50" s="271">
        <f t="shared" si="8"/>
        <v>7.9310344827586213E-2</v>
      </c>
      <c r="J50" s="272">
        <f t="shared" si="9"/>
        <v>9.0909090909090912E-2</v>
      </c>
      <c r="K50" s="273">
        <f t="shared" si="10"/>
        <v>1.05465884079237</v>
      </c>
      <c r="L50" s="273">
        <f t="shared" si="11"/>
        <v>1.0146103896103897</v>
      </c>
      <c r="M50" s="275">
        <f t="shared" si="12"/>
        <v>2.0692692304027598</v>
      </c>
      <c r="N50" s="22"/>
      <c r="O50" s="22"/>
      <c r="P50" s="22"/>
      <c r="Q50" s="22"/>
      <c r="R50" s="22"/>
      <c r="S50" s="22"/>
    </row>
    <row r="51" spans="1:19" ht="11.25" customHeight="1">
      <c r="A51" s="292" t="s">
        <v>729</v>
      </c>
      <c r="B51" s="293" t="s">
        <v>618</v>
      </c>
      <c r="C51" s="294">
        <v>287</v>
      </c>
      <c r="D51" s="269">
        <f>C51/$R$10</f>
        <v>1.0177304964539007</v>
      </c>
      <c r="E51" s="295">
        <v>342</v>
      </c>
      <c r="F51" s="269">
        <f>E51/$R$11</f>
        <v>1.0178571428571428</v>
      </c>
      <c r="G51" s="295">
        <v>3185</v>
      </c>
      <c r="H51" s="269">
        <f>G51/$R$12</f>
        <v>1.0143312101910829</v>
      </c>
      <c r="I51" s="271">
        <f t="shared" si="8"/>
        <v>9.0109890109890109E-2</v>
      </c>
      <c r="J51" s="272">
        <f t="shared" si="9"/>
        <v>0.10737833594976452</v>
      </c>
      <c r="K51" s="273">
        <f t="shared" si="10"/>
        <v>1.0033512586704074</v>
      </c>
      <c r="L51" s="273">
        <f t="shared" si="11"/>
        <v>1.0034761157210135</v>
      </c>
      <c r="M51" s="275">
        <f t="shared" si="12"/>
        <v>2.0068273743914213</v>
      </c>
      <c r="N51" s="22"/>
      <c r="O51" s="22"/>
      <c r="P51" s="22"/>
      <c r="Q51" s="22"/>
      <c r="R51" s="22"/>
      <c r="S51" s="22"/>
    </row>
  </sheetData>
  <sheetProtection selectLockedCells="1" sort="0" autoFilter="0"/>
  <mergeCells count="11">
    <mergeCell ref="A1:J1"/>
    <mergeCell ref="P26:S26"/>
    <mergeCell ref="P14:S14"/>
    <mergeCell ref="O5:Q5"/>
    <mergeCell ref="O6:Q6"/>
    <mergeCell ref="O7:Q7"/>
    <mergeCell ref="O10:Q10"/>
    <mergeCell ref="O9:Q9"/>
    <mergeCell ref="O4:Q4"/>
    <mergeCell ref="O11:Q11"/>
    <mergeCell ref="O12:Q12"/>
  </mergeCells>
  <conditionalFormatting sqref="A1">
    <cfRule type="containsErrors" dxfId="37" priority="7" stopIfTrue="1">
      <formula>ISERROR(A1)</formula>
    </cfRule>
  </conditionalFormatting>
  <conditionalFormatting sqref="O5:O7 P7:R7 P5:Q6">
    <cfRule type="containsErrors" dxfId="36" priority="6" stopIfTrue="1">
      <formula>ISERROR(O5)</formula>
    </cfRule>
  </conditionalFormatting>
  <conditionalFormatting sqref="R5:R6">
    <cfRule type="containsErrors" dxfId="35" priority="5" stopIfTrue="1">
      <formula>ISERROR(R5)</formula>
    </cfRule>
  </conditionalFormatting>
  <conditionalFormatting sqref="O10:O12 P12:R12 P10:Q11">
    <cfRule type="containsErrors" dxfId="34" priority="4" stopIfTrue="1">
      <formula>ISERROR(O10)</formula>
    </cfRule>
  </conditionalFormatting>
  <conditionalFormatting sqref="R10:R11">
    <cfRule type="containsErrors" dxfId="33" priority="3" stopIfTrue="1">
      <formula>ISERROR(R10)</formula>
    </cfRule>
  </conditionalFormatting>
  <conditionalFormatting sqref="S5:S7">
    <cfRule type="containsErrors" dxfId="32" priority="2" stopIfTrue="1">
      <formula>ISERROR(S5)</formula>
    </cfRule>
  </conditionalFormatting>
  <conditionalFormatting sqref="S10:S12">
    <cfRule type="containsErrors" dxfId="31" priority="1" stopIfTrue="1">
      <formula>ISERROR(S10)</formula>
    </cfRule>
  </conditionalFormatting>
  <pageMargins left="0.7" right="0.7" top="0.75" bottom="0.75" header="0.3" footer="0.3"/>
  <pageSetup scale="42" orientation="portrait" r:id="rId1"/>
  <tableParts count="3">
    <tablePart r:id="rId2"/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G117"/>
  <sheetViews>
    <sheetView showGridLines="0" zoomScaleNormal="100" workbookViewId="0">
      <pane ySplit="2" topLeftCell="A3" activePane="bottomLeft" state="frozen"/>
      <selection activeCell="B1" sqref="B1"/>
      <selection pane="bottomLeft" activeCell="G37" sqref="G37"/>
    </sheetView>
  </sheetViews>
  <sheetFormatPr defaultRowHeight="12.95" customHeight="1"/>
  <cols>
    <col min="1" max="1" width="17.28515625" style="365" bestFit="1" customWidth="1"/>
    <col min="2" max="2" width="22.85546875" style="365" bestFit="1" customWidth="1"/>
    <col min="3" max="3" width="16.140625" style="375" customWidth="1"/>
    <col min="4" max="4" width="11.7109375" style="375" customWidth="1"/>
    <col min="5" max="5" width="7.5703125" style="375" hidden="1" customWidth="1"/>
    <col min="6" max="6" width="28" style="365" hidden="1" customWidth="1"/>
    <col min="7" max="7" width="9.140625" style="365"/>
    <col min="8" max="8" width="9.140625" style="365" customWidth="1"/>
    <col min="9" max="16384" width="9.140625" style="365"/>
  </cols>
  <sheetData>
    <row r="1" spans="1:7" ht="12.95" customHeight="1">
      <c r="A1" s="646" t="s">
        <v>779</v>
      </c>
      <c r="B1" s="646"/>
      <c r="C1" s="646"/>
      <c r="D1" s="432"/>
      <c r="E1" s="364"/>
    </row>
    <row r="2" spans="1:7" ht="12.95" customHeight="1">
      <c r="A2" s="366" t="s">
        <v>352</v>
      </c>
      <c r="B2" s="367" t="s">
        <v>353</v>
      </c>
      <c r="C2" s="368" t="s">
        <v>1005</v>
      </c>
      <c r="D2" s="439" t="s">
        <v>1165</v>
      </c>
      <c r="E2" s="376" t="s">
        <v>1004</v>
      </c>
      <c r="F2" s="369" t="s">
        <v>593</v>
      </c>
      <c r="G2" s="359" t="s">
        <v>998</v>
      </c>
    </row>
    <row r="3" spans="1:7" ht="12.95" customHeight="1">
      <c r="A3" s="370" t="s">
        <v>392</v>
      </c>
      <c r="B3" s="370" t="s">
        <v>457</v>
      </c>
      <c r="C3" s="371">
        <f t="shared" ref="C3:C34" si="0">E3/$E$2*10</f>
        <v>10</v>
      </c>
      <c r="D3" s="371"/>
      <c r="E3" s="377">
        <v>36</v>
      </c>
      <c r="F3" s="370" t="str">
        <f t="shared" ref="F3:F34" si="1">A3&amp;" "&amp;B3</f>
        <v>Buddy Club P1 Racing QF</v>
      </c>
    </row>
    <row r="4" spans="1:7" ht="12.95" customHeight="1">
      <c r="A4" s="372" t="s">
        <v>398</v>
      </c>
      <c r="B4" s="372" t="s">
        <v>469</v>
      </c>
      <c r="C4" s="438">
        <f t="shared" si="0"/>
        <v>10</v>
      </c>
      <c r="D4" s="371"/>
      <c r="E4" s="377">
        <v>36</v>
      </c>
      <c r="F4" s="372" t="str">
        <f t="shared" si="1"/>
        <v>Dymag 9 Spoke</v>
      </c>
    </row>
    <row r="5" spans="1:7" ht="12.95" customHeight="1">
      <c r="A5" s="372" t="s">
        <v>408</v>
      </c>
      <c r="B5" s="372" t="s">
        <v>485</v>
      </c>
      <c r="C5" s="438">
        <f t="shared" si="0"/>
        <v>10</v>
      </c>
      <c r="D5" s="371"/>
      <c r="E5" s="377">
        <v>36</v>
      </c>
      <c r="F5" s="372" t="str">
        <f t="shared" si="1"/>
        <v>Hole Shot Wheels Hole Star</v>
      </c>
    </row>
    <row r="6" spans="1:7" ht="12.95" customHeight="1">
      <c r="A6" s="372" t="s">
        <v>408</v>
      </c>
      <c r="B6" s="372" t="s">
        <v>486</v>
      </c>
      <c r="C6" s="438">
        <f t="shared" si="0"/>
        <v>10</v>
      </c>
      <c r="D6" s="371"/>
      <c r="E6" s="377">
        <v>36</v>
      </c>
      <c r="F6" s="372" t="str">
        <f t="shared" si="1"/>
        <v>Hole Shot Wheels Solid</v>
      </c>
    </row>
    <row r="7" spans="1:7" ht="12.95" customHeight="1">
      <c r="A7" s="372" t="s">
        <v>408</v>
      </c>
      <c r="B7" s="373" t="s">
        <v>767</v>
      </c>
      <c r="C7" s="438">
        <f t="shared" si="0"/>
        <v>10</v>
      </c>
      <c r="D7" s="371"/>
      <c r="E7" s="377">
        <v>36</v>
      </c>
      <c r="F7" s="372" t="str">
        <f t="shared" si="1"/>
        <v>Hole Shot Wheels Sun Star</v>
      </c>
    </row>
    <row r="8" spans="1:7" ht="12.95" customHeight="1">
      <c r="A8" s="372" t="s">
        <v>412</v>
      </c>
      <c r="B8" s="372" t="s">
        <v>493</v>
      </c>
      <c r="C8" s="438">
        <f t="shared" si="0"/>
        <v>10</v>
      </c>
      <c r="D8" s="371"/>
      <c r="E8" s="377">
        <v>36</v>
      </c>
      <c r="F8" s="372" t="str">
        <f t="shared" si="1"/>
        <v>Konig After Burner</v>
      </c>
    </row>
    <row r="9" spans="1:7" ht="12.95" customHeight="1">
      <c r="A9" s="372" t="s">
        <v>426</v>
      </c>
      <c r="B9" s="372" t="s">
        <v>524</v>
      </c>
      <c r="C9" s="438">
        <f t="shared" si="0"/>
        <v>10</v>
      </c>
      <c r="D9" s="371"/>
      <c r="E9" s="377">
        <v>36</v>
      </c>
      <c r="F9" s="372" t="str">
        <f t="shared" si="1"/>
        <v>RS Watanabe Cyclone</v>
      </c>
    </row>
    <row r="10" spans="1:7" ht="12.95" customHeight="1">
      <c r="A10" s="372" t="s">
        <v>430</v>
      </c>
      <c r="B10" s="372" t="s">
        <v>529</v>
      </c>
      <c r="C10" s="438">
        <f t="shared" si="0"/>
        <v>10</v>
      </c>
      <c r="D10" s="371"/>
      <c r="E10" s="377">
        <v>36</v>
      </c>
      <c r="F10" s="372" t="str">
        <f t="shared" si="1"/>
        <v>TSW Trackstar 4</v>
      </c>
    </row>
    <row r="11" spans="1:7" ht="12.95" customHeight="1">
      <c r="A11" s="372" t="s">
        <v>431</v>
      </c>
      <c r="B11" s="372" t="s">
        <v>532</v>
      </c>
      <c r="C11" s="438">
        <f t="shared" si="0"/>
        <v>10</v>
      </c>
      <c r="D11" s="371"/>
      <c r="E11" s="377">
        <v>36</v>
      </c>
      <c r="F11" s="372" t="str">
        <f t="shared" si="1"/>
        <v>Volk Racing RE30</v>
      </c>
    </row>
    <row r="12" spans="1:7" ht="12.95" customHeight="1">
      <c r="A12" s="372" t="s">
        <v>433</v>
      </c>
      <c r="B12" s="372" t="s">
        <v>1000</v>
      </c>
      <c r="C12" s="438">
        <f t="shared" si="0"/>
        <v>10</v>
      </c>
      <c r="D12" s="371"/>
      <c r="E12" s="377">
        <v>36</v>
      </c>
      <c r="F12" s="372" t="str">
        <f t="shared" si="1"/>
        <v>Weld Racing Magnum III</v>
      </c>
    </row>
    <row r="13" spans="1:7" ht="12.95" customHeight="1">
      <c r="A13" s="372" t="s">
        <v>383</v>
      </c>
      <c r="B13" s="372" t="s">
        <v>439</v>
      </c>
      <c r="C13" s="438">
        <f t="shared" si="0"/>
        <v>9.1666666666666661</v>
      </c>
      <c r="D13" s="371"/>
      <c r="E13" s="377">
        <v>33</v>
      </c>
      <c r="F13" s="372" t="str">
        <f t="shared" si="1"/>
        <v>Advan RGII</v>
      </c>
    </row>
    <row r="14" spans="1:7" ht="12.95" customHeight="1">
      <c r="A14" s="372" t="s">
        <v>399</v>
      </c>
      <c r="B14" s="372" t="s">
        <v>470</v>
      </c>
      <c r="C14" s="438">
        <f t="shared" si="0"/>
        <v>9.1666666666666661</v>
      </c>
      <c r="D14" s="371"/>
      <c r="E14" s="377">
        <v>33</v>
      </c>
      <c r="F14" s="372" t="str">
        <f t="shared" si="1"/>
        <v>EnKei RPF1</v>
      </c>
    </row>
    <row r="15" spans="1:7" ht="12.95" customHeight="1">
      <c r="A15" s="372" t="s">
        <v>412</v>
      </c>
      <c r="B15" s="372" t="s">
        <v>495</v>
      </c>
      <c r="C15" s="438">
        <f t="shared" si="0"/>
        <v>9.1666666666666661</v>
      </c>
      <c r="D15" s="371"/>
      <c r="E15" s="377">
        <v>33</v>
      </c>
      <c r="F15" s="372" t="str">
        <f t="shared" si="1"/>
        <v>Konig Daylite</v>
      </c>
    </row>
    <row r="16" spans="1:7" ht="12.95" customHeight="1">
      <c r="A16" s="372" t="s">
        <v>411</v>
      </c>
      <c r="B16" s="372" t="s">
        <v>491</v>
      </c>
      <c r="C16" s="438">
        <f t="shared" si="0"/>
        <v>9.1666666666666661</v>
      </c>
      <c r="D16" s="371"/>
      <c r="E16" s="377">
        <v>33</v>
      </c>
      <c r="F16" s="372" t="str">
        <f t="shared" si="1"/>
        <v>Kosei K1-Racing TS-Version</v>
      </c>
    </row>
    <row r="17" spans="1:6" ht="12.95" customHeight="1">
      <c r="A17" s="372" t="s">
        <v>419</v>
      </c>
      <c r="B17" s="372" t="s">
        <v>510</v>
      </c>
      <c r="C17" s="438">
        <f t="shared" si="0"/>
        <v>9.1666666666666661</v>
      </c>
      <c r="D17" s="371"/>
      <c r="E17" s="377">
        <v>33</v>
      </c>
      <c r="F17" s="372" t="str">
        <f t="shared" si="1"/>
        <v>Motegi Racing TRAKLITE 1.0</v>
      </c>
    </row>
    <row r="18" spans="1:6" ht="12.95" customHeight="1">
      <c r="A18" s="372" t="s">
        <v>419</v>
      </c>
      <c r="B18" s="372" t="s">
        <v>508</v>
      </c>
      <c r="C18" s="438">
        <f t="shared" si="0"/>
        <v>9.1666666666666661</v>
      </c>
      <c r="D18" s="371"/>
      <c r="E18" s="377">
        <v>33</v>
      </c>
      <c r="F18" s="372" t="str">
        <f t="shared" si="1"/>
        <v>Motegi Racing TRAKLITE 2.0</v>
      </c>
    </row>
    <row r="19" spans="1:6" ht="12.95" customHeight="1">
      <c r="A19" s="372" t="s">
        <v>432</v>
      </c>
      <c r="B19" s="372" t="s">
        <v>535</v>
      </c>
      <c r="C19" s="438">
        <f t="shared" si="0"/>
        <v>9.1666666666666661</v>
      </c>
      <c r="D19" s="371"/>
      <c r="E19" s="377">
        <v>33</v>
      </c>
      <c r="F19" s="372" t="str">
        <f t="shared" si="1"/>
        <v>WedsSport SA-97 F</v>
      </c>
    </row>
    <row r="20" spans="1:6" ht="12.95" customHeight="1">
      <c r="A20" s="372" t="s">
        <v>432</v>
      </c>
      <c r="B20" s="372" t="s">
        <v>536</v>
      </c>
      <c r="C20" s="438">
        <f t="shared" si="0"/>
        <v>9.1666666666666661</v>
      </c>
      <c r="D20" s="371"/>
      <c r="E20" s="377">
        <v>33</v>
      </c>
      <c r="F20" s="372" t="str">
        <f t="shared" si="1"/>
        <v>WedsSport TC 105 N</v>
      </c>
    </row>
    <row r="21" spans="1:6" ht="12.95" customHeight="1">
      <c r="A21" s="372" t="s">
        <v>394</v>
      </c>
      <c r="B21" s="372" t="s">
        <v>459</v>
      </c>
      <c r="C21" s="438">
        <f t="shared" si="0"/>
        <v>8.0555555555555554</v>
      </c>
      <c r="D21" s="371"/>
      <c r="E21" s="377">
        <v>29</v>
      </c>
      <c r="F21" s="372" t="str">
        <f t="shared" si="1"/>
        <v>Compomotive CXR</v>
      </c>
    </row>
    <row r="22" spans="1:6" ht="12.95" customHeight="1">
      <c r="A22" s="372" t="s">
        <v>395</v>
      </c>
      <c r="B22" s="372" t="s">
        <v>999</v>
      </c>
      <c r="C22" s="438">
        <f t="shared" si="0"/>
        <v>8.0555555555555554</v>
      </c>
      <c r="D22" s="371"/>
      <c r="E22" s="377">
        <v>29</v>
      </c>
      <c r="F22" s="372" t="str">
        <f t="shared" si="1"/>
        <v>Cragar Bonneville Series 391</v>
      </c>
    </row>
    <row r="23" spans="1:6" ht="12.95" customHeight="1">
      <c r="A23" s="372" t="s">
        <v>400</v>
      </c>
      <c r="B23" s="372" t="s">
        <v>474</v>
      </c>
      <c r="C23" s="438">
        <f t="shared" si="0"/>
        <v>8.0555555555555554</v>
      </c>
      <c r="D23" s="371"/>
      <c r="E23" s="377">
        <v>29</v>
      </c>
      <c r="F23" s="372" t="str">
        <f t="shared" si="1"/>
        <v>Fikse Profil 5</v>
      </c>
    </row>
    <row r="24" spans="1:6" ht="12.95" customHeight="1">
      <c r="A24" s="372" t="s">
        <v>400</v>
      </c>
      <c r="B24" s="372" t="s">
        <v>475</v>
      </c>
      <c r="C24" s="438">
        <f t="shared" si="0"/>
        <v>8.0555555555555554</v>
      </c>
      <c r="D24" s="371"/>
      <c r="E24" s="377">
        <v>29</v>
      </c>
      <c r="F24" s="372" t="str">
        <f t="shared" si="1"/>
        <v>Fikse Profil 5S</v>
      </c>
    </row>
    <row r="25" spans="1:6" ht="12.95" customHeight="1">
      <c r="A25" s="372" t="s">
        <v>412</v>
      </c>
      <c r="B25" s="372" t="s">
        <v>494</v>
      </c>
      <c r="C25" s="438">
        <f t="shared" si="0"/>
        <v>8.0555555555555554</v>
      </c>
      <c r="D25" s="371"/>
      <c r="E25" s="377">
        <v>29</v>
      </c>
      <c r="F25" s="372" t="str">
        <f t="shared" si="1"/>
        <v>Konig Britelite</v>
      </c>
    </row>
    <row r="26" spans="1:6" ht="12.95" customHeight="1">
      <c r="A26" s="372" t="s">
        <v>416</v>
      </c>
      <c r="B26" s="372" t="s">
        <v>502</v>
      </c>
      <c r="C26" s="438">
        <f t="shared" si="0"/>
        <v>8.0555555555555554</v>
      </c>
      <c r="D26" s="371"/>
      <c r="E26" s="377">
        <v>29</v>
      </c>
      <c r="F26" s="372" t="str">
        <f t="shared" si="1"/>
        <v>Mickey Thompson ET Drag</v>
      </c>
    </row>
    <row r="27" spans="1:6" ht="12.95" customHeight="1">
      <c r="A27" s="372" t="s">
        <v>425</v>
      </c>
      <c r="B27" s="372" t="s">
        <v>521</v>
      </c>
      <c r="C27" s="438">
        <f t="shared" si="0"/>
        <v>8.0555555555555554</v>
      </c>
      <c r="D27" s="371"/>
      <c r="E27" s="377">
        <v>29</v>
      </c>
      <c r="F27" s="372" t="str">
        <f t="shared" si="1"/>
        <v>Rota J.SPL</v>
      </c>
    </row>
    <row r="28" spans="1:6" ht="12.95" customHeight="1">
      <c r="A28" s="372" t="s">
        <v>428</v>
      </c>
      <c r="B28" s="372" t="s">
        <v>526</v>
      </c>
      <c r="C28" s="438">
        <f t="shared" si="0"/>
        <v>8.0555555555555554</v>
      </c>
      <c r="D28" s="371"/>
      <c r="E28" s="377">
        <v>29</v>
      </c>
      <c r="F28" s="372" t="str">
        <f t="shared" si="1"/>
        <v>Team Dynamics Racing Pro Race 2</v>
      </c>
    </row>
    <row r="29" spans="1:6" ht="12.95" customHeight="1">
      <c r="A29" s="372" t="s">
        <v>431</v>
      </c>
      <c r="B29" s="372" t="s">
        <v>533</v>
      </c>
      <c r="C29" s="438">
        <f t="shared" si="0"/>
        <v>8.0555555555555554</v>
      </c>
      <c r="D29" s="371"/>
      <c r="E29" s="377">
        <v>29</v>
      </c>
      <c r="F29" s="372" t="str">
        <f t="shared" si="1"/>
        <v>Volk Racing TE37</v>
      </c>
    </row>
    <row r="30" spans="1:6" ht="12.95" customHeight="1">
      <c r="A30" s="372" t="s">
        <v>432</v>
      </c>
      <c r="B30" s="372" t="s">
        <v>534</v>
      </c>
      <c r="C30" s="438">
        <f t="shared" si="0"/>
        <v>8.0555555555555554</v>
      </c>
      <c r="D30" s="371"/>
      <c r="E30" s="377">
        <v>29</v>
      </c>
      <c r="F30" s="372" t="str">
        <f t="shared" si="1"/>
        <v>WedsSport SA-70</v>
      </c>
    </row>
    <row r="31" spans="1:6" ht="12.95" customHeight="1">
      <c r="A31" s="372" t="s">
        <v>433</v>
      </c>
      <c r="B31" s="372" t="s">
        <v>537</v>
      </c>
      <c r="C31" s="438">
        <f t="shared" si="0"/>
        <v>8.0555555555555554</v>
      </c>
      <c r="D31" s="371"/>
      <c r="E31" s="377">
        <v>29</v>
      </c>
      <c r="F31" s="372" t="str">
        <f t="shared" si="1"/>
        <v>Weld Racing AlumaStar 2.0 Drag Race</v>
      </c>
    </row>
    <row r="32" spans="1:6" ht="12.95" customHeight="1">
      <c r="A32" s="372" t="s">
        <v>434</v>
      </c>
      <c r="B32" s="372" t="s">
        <v>538</v>
      </c>
      <c r="C32" s="438">
        <f t="shared" si="0"/>
        <v>8.0555555555555554</v>
      </c>
      <c r="D32" s="371"/>
      <c r="E32" s="377">
        <v>29</v>
      </c>
      <c r="F32" s="372" t="str">
        <f t="shared" si="1"/>
        <v>Work XD9</v>
      </c>
    </row>
    <row r="33" spans="1:6" ht="12.95" customHeight="1">
      <c r="A33" s="372" t="s">
        <v>382</v>
      </c>
      <c r="B33" s="372" t="s">
        <v>436</v>
      </c>
      <c r="C33" s="438">
        <f t="shared" si="0"/>
        <v>7.2222222222222223</v>
      </c>
      <c r="D33" s="371"/>
      <c r="E33" s="377">
        <v>26</v>
      </c>
      <c r="F33" s="372" t="str">
        <f t="shared" si="1"/>
        <v>5Zigen FN01R-C</v>
      </c>
    </row>
    <row r="34" spans="1:6" ht="12.95" customHeight="1">
      <c r="A34" s="372" t="s">
        <v>383</v>
      </c>
      <c r="B34" s="372" t="s">
        <v>440</v>
      </c>
      <c r="C34" s="438">
        <f t="shared" si="0"/>
        <v>7.2222222222222223</v>
      </c>
      <c r="D34" s="371"/>
      <c r="E34" s="377">
        <v>26</v>
      </c>
      <c r="F34" s="372" t="str">
        <f t="shared" si="1"/>
        <v>Advan Super Advan Racing Version 2</v>
      </c>
    </row>
    <row r="35" spans="1:6" ht="12.95" customHeight="1">
      <c r="A35" s="372" t="s">
        <v>387</v>
      </c>
      <c r="B35" s="372" t="s">
        <v>447</v>
      </c>
      <c r="C35" s="438">
        <f t="shared" ref="C35:C66" si="2">E35/$E$2*10</f>
        <v>7.2222222222222223</v>
      </c>
      <c r="D35" s="371"/>
      <c r="E35" s="377">
        <v>26</v>
      </c>
      <c r="F35" s="372" t="str">
        <f t="shared" ref="F35:F66" si="3">A35&amp;" "&amp;B35</f>
        <v>BBS RK</v>
      </c>
    </row>
    <row r="36" spans="1:6" ht="12.95" customHeight="1">
      <c r="A36" s="372" t="s">
        <v>404</v>
      </c>
      <c r="B36" s="372" t="s">
        <v>477</v>
      </c>
      <c r="C36" s="438">
        <f t="shared" si="2"/>
        <v>7.2222222222222223</v>
      </c>
      <c r="D36" s="371"/>
      <c r="E36" s="377">
        <v>26</v>
      </c>
      <c r="F36" s="372" t="str">
        <f t="shared" si="3"/>
        <v>Gemballa Le Mans</v>
      </c>
    </row>
    <row r="37" spans="1:6" ht="12.95" customHeight="1">
      <c r="A37" s="372" t="s">
        <v>419</v>
      </c>
      <c r="B37" s="372" t="s">
        <v>509</v>
      </c>
      <c r="C37" s="438">
        <f t="shared" si="2"/>
        <v>7.2222222222222223</v>
      </c>
      <c r="D37" s="371"/>
      <c r="E37" s="377">
        <v>26</v>
      </c>
      <c r="F37" s="372" t="str">
        <f t="shared" si="3"/>
        <v>Motegi Racing SP10</v>
      </c>
    </row>
    <row r="38" spans="1:6" ht="12.95" customHeight="1">
      <c r="A38" s="372" t="s">
        <v>427</v>
      </c>
      <c r="B38" s="372">
        <v>2014</v>
      </c>
      <c r="C38" s="438">
        <f t="shared" si="2"/>
        <v>7.2222222222222223</v>
      </c>
      <c r="D38" s="371"/>
      <c r="E38" s="377">
        <v>26</v>
      </c>
      <c r="F38" s="372" t="str">
        <f t="shared" si="3"/>
        <v>Speedline Corse 2014</v>
      </c>
    </row>
    <row r="39" spans="1:6" ht="12.95" customHeight="1">
      <c r="A39" s="372" t="s">
        <v>428</v>
      </c>
      <c r="B39" s="372" t="s">
        <v>525</v>
      </c>
      <c r="C39" s="438">
        <f t="shared" si="2"/>
        <v>7.2222222222222223</v>
      </c>
      <c r="D39" s="371"/>
      <c r="E39" s="377">
        <v>26</v>
      </c>
      <c r="F39" s="372" t="str">
        <f t="shared" si="3"/>
        <v>Team Dynamics Racing Pro Race 1</v>
      </c>
    </row>
    <row r="40" spans="1:6" ht="12.95" customHeight="1">
      <c r="A40" s="372" t="s">
        <v>382</v>
      </c>
      <c r="B40" s="372" t="s">
        <v>438</v>
      </c>
      <c r="C40" s="438">
        <f t="shared" si="2"/>
        <v>6.3888888888888884</v>
      </c>
      <c r="D40" s="371"/>
      <c r="E40" s="377">
        <v>23</v>
      </c>
      <c r="F40" s="372" t="str">
        <f t="shared" si="3"/>
        <v>5Zigen ZR+520</v>
      </c>
    </row>
    <row r="41" spans="1:6" ht="12.95" customHeight="1">
      <c r="A41" s="372" t="s">
        <v>388</v>
      </c>
      <c r="B41" s="372" t="s">
        <v>451</v>
      </c>
      <c r="C41" s="438">
        <f t="shared" si="2"/>
        <v>6.3888888888888884</v>
      </c>
      <c r="D41" s="371"/>
      <c r="E41" s="377">
        <v>23</v>
      </c>
      <c r="F41" s="372" t="str">
        <f t="shared" si="3"/>
        <v>Blitz Technospeed Z1</v>
      </c>
    </row>
    <row r="42" spans="1:6" ht="12.95" customHeight="1">
      <c r="A42" s="372" t="s">
        <v>399</v>
      </c>
      <c r="B42" s="372" t="s">
        <v>471</v>
      </c>
      <c r="C42" s="438">
        <f t="shared" si="2"/>
        <v>6.3888888888888884</v>
      </c>
      <c r="D42" s="371"/>
      <c r="E42" s="377">
        <v>23</v>
      </c>
      <c r="F42" s="372" t="str">
        <f t="shared" si="3"/>
        <v>EnKei NT03+M</v>
      </c>
    </row>
    <row r="43" spans="1:6" ht="12.95" customHeight="1">
      <c r="A43" s="372" t="s">
        <v>405</v>
      </c>
      <c r="B43" s="372" t="s">
        <v>480</v>
      </c>
      <c r="C43" s="438">
        <f t="shared" si="2"/>
        <v>6.3888888888888884</v>
      </c>
      <c r="D43" s="371"/>
      <c r="E43" s="377">
        <v>23</v>
      </c>
      <c r="F43" s="372" t="str">
        <f t="shared" si="3"/>
        <v>Gram Lights 57 OPTIMISE</v>
      </c>
    </row>
    <row r="44" spans="1:6" ht="12.95" customHeight="1">
      <c r="A44" s="372" t="s">
        <v>405</v>
      </c>
      <c r="B44" s="372" t="s">
        <v>479</v>
      </c>
      <c r="C44" s="438">
        <f t="shared" si="2"/>
        <v>6.3888888888888884</v>
      </c>
      <c r="D44" s="371"/>
      <c r="E44" s="377">
        <v>23</v>
      </c>
      <c r="F44" s="372" t="str">
        <f t="shared" si="3"/>
        <v>Gram Lights 57C</v>
      </c>
    </row>
    <row r="45" spans="1:6" ht="12.95" customHeight="1">
      <c r="A45" s="372" t="s">
        <v>409</v>
      </c>
      <c r="B45" s="372" t="s">
        <v>488</v>
      </c>
      <c r="C45" s="438">
        <f t="shared" si="2"/>
        <v>6.3888888888888884</v>
      </c>
      <c r="D45" s="371"/>
      <c r="E45" s="377">
        <v>23</v>
      </c>
      <c r="F45" s="372" t="str">
        <f t="shared" si="3"/>
        <v>HRE 546R</v>
      </c>
    </row>
    <row r="46" spans="1:6" ht="12.95" customHeight="1">
      <c r="A46" s="372" t="s">
        <v>410</v>
      </c>
      <c r="B46" s="372" t="s">
        <v>489</v>
      </c>
      <c r="C46" s="438">
        <f t="shared" si="2"/>
        <v>6.3888888888888884</v>
      </c>
      <c r="D46" s="371"/>
      <c r="E46" s="377">
        <v>23</v>
      </c>
      <c r="F46" s="372" t="str">
        <f t="shared" si="3"/>
        <v>iForged Astra</v>
      </c>
    </row>
    <row r="47" spans="1:6" ht="12.95" customHeight="1">
      <c r="A47" s="372" t="s">
        <v>410</v>
      </c>
      <c r="B47" s="372" t="s">
        <v>490</v>
      </c>
      <c r="C47" s="438">
        <f t="shared" si="2"/>
        <v>6.3888888888888884</v>
      </c>
      <c r="D47" s="371"/>
      <c r="E47" s="377">
        <v>23</v>
      </c>
      <c r="F47" s="372" t="str">
        <f t="shared" si="3"/>
        <v>iForged Fabulous</v>
      </c>
    </row>
    <row r="48" spans="1:6" ht="12.95" customHeight="1">
      <c r="A48" s="372" t="s">
        <v>386</v>
      </c>
      <c r="B48" s="372" t="s">
        <v>446</v>
      </c>
      <c r="C48" s="438">
        <f t="shared" si="2"/>
        <v>5.2777777777777777</v>
      </c>
      <c r="D48" s="371"/>
      <c r="E48" s="377">
        <v>19</v>
      </c>
      <c r="F48" s="372" t="str">
        <f t="shared" si="3"/>
        <v>ATS Classic</v>
      </c>
    </row>
    <row r="49" spans="1:6" ht="12.95" customHeight="1">
      <c r="A49" s="372" t="s">
        <v>387</v>
      </c>
      <c r="B49" s="372" t="s">
        <v>448</v>
      </c>
      <c r="C49" s="438">
        <f t="shared" si="2"/>
        <v>5.2777777777777777</v>
      </c>
      <c r="D49" s="371"/>
      <c r="E49" s="377">
        <v>19</v>
      </c>
      <c r="F49" s="372" t="str">
        <f t="shared" si="3"/>
        <v>BBS RE</v>
      </c>
    </row>
    <row r="50" spans="1:6" ht="12.95" customHeight="1">
      <c r="A50" s="372" t="s">
        <v>387</v>
      </c>
      <c r="B50" s="372" t="s">
        <v>449</v>
      </c>
      <c r="C50" s="438">
        <f t="shared" si="2"/>
        <v>5.2777777777777777</v>
      </c>
      <c r="D50" s="371"/>
      <c r="E50" s="377">
        <v>19</v>
      </c>
      <c r="F50" s="372" t="str">
        <f t="shared" si="3"/>
        <v>BBS RS-GT</v>
      </c>
    </row>
    <row r="51" spans="1:6" ht="12.95" customHeight="1">
      <c r="A51" s="372" t="s">
        <v>393</v>
      </c>
      <c r="B51" s="372" t="s">
        <v>458</v>
      </c>
      <c r="C51" s="438">
        <f t="shared" si="2"/>
        <v>5.2777777777777777</v>
      </c>
      <c r="D51" s="371"/>
      <c r="E51" s="377">
        <v>19</v>
      </c>
      <c r="F51" s="372" t="str">
        <f t="shared" si="3"/>
        <v>Center Line Auto Drag III</v>
      </c>
    </row>
    <row r="52" spans="1:6" ht="12.95" customHeight="1">
      <c r="A52" s="372" t="s">
        <v>404</v>
      </c>
      <c r="B52" s="372" t="s">
        <v>478</v>
      </c>
      <c r="C52" s="438">
        <f t="shared" si="2"/>
        <v>5.2777777777777777</v>
      </c>
      <c r="D52" s="371"/>
      <c r="E52" s="377">
        <v>19</v>
      </c>
      <c r="F52" s="372" t="str">
        <f t="shared" si="3"/>
        <v>Gemballa Turbo Sport</v>
      </c>
    </row>
    <row r="53" spans="1:6" ht="12.95" customHeight="1">
      <c r="A53" s="372" t="s">
        <v>405</v>
      </c>
      <c r="B53" s="372" t="s">
        <v>481</v>
      </c>
      <c r="C53" s="438">
        <f t="shared" si="2"/>
        <v>5.2777777777777777</v>
      </c>
      <c r="D53" s="371"/>
      <c r="E53" s="377">
        <v>19</v>
      </c>
      <c r="F53" s="372" t="str">
        <f t="shared" si="3"/>
        <v>Gram Lights T57-RC</v>
      </c>
    </row>
    <row r="54" spans="1:6" ht="12.95" customHeight="1">
      <c r="A54" s="372" t="s">
        <v>407</v>
      </c>
      <c r="B54" s="372" t="s">
        <v>484</v>
      </c>
      <c r="C54" s="438">
        <f t="shared" si="2"/>
        <v>5.2777777777777777</v>
      </c>
      <c r="D54" s="371"/>
      <c r="E54" s="377">
        <v>19</v>
      </c>
      <c r="F54" s="372" t="str">
        <f t="shared" si="3"/>
        <v>Hamann Edition Race</v>
      </c>
    </row>
    <row r="55" spans="1:6" ht="12.95" customHeight="1">
      <c r="A55" s="372" t="s">
        <v>409</v>
      </c>
      <c r="B55" s="372" t="s">
        <v>487</v>
      </c>
      <c r="C55" s="438">
        <f t="shared" si="2"/>
        <v>5.2777777777777777</v>
      </c>
      <c r="D55" s="371"/>
      <c r="E55" s="377">
        <v>19</v>
      </c>
      <c r="F55" s="372" t="str">
        <f t="shared" si="3"/>
        <v>HRE 445R</v>
      </c>
    </row>
    <row r="56" spans="1:6" ht="12.95" customHeight="1">
      <c r="A56" s="372" t="s">
        <v>417</v>
      </c>
      <c r="B56" s="372" t="s">
        <v>505</v>
      </c>
      <c r="C56" s="438">
        <f t="shared" si="2"/>
        <v>5.2777777777777777</v>
      </c>
      <c r="D56" s="371"/>
      <c r="E56" s="377">
        <v>19</v>
      </c>
      <c r="F56" s="372" t="str">
        <f t="shared" si="3"/>
        <v>Modulare M7</v>
      </c>
    </row>
    <row r="57" spans="1:6" ht="12.95" customHeight="1">
      <c r="A57" s="372" t="s">
        <v>425</v>
      </c>
      <c r="B57" s="372" t="s">
        <v>523</v>
      </c>
      <c r="C57" s="438">
        <f t="shared" si="2"/>
        <v>5.2777777777777777</v>
      </c>
      <c r="D57" s="371"/>
      <c r="E57" s="377">
        <v>19</v>
      </c>
      <c r="F57" s="372" t="str">
        <f t="shared" si="3"/>
        <v>Rota Tarmac 3</v>
      </c>
    </row>
    <row r="58" spans="1:6" ht="12.95" customHeight="1">
      <c r="A58" s="372" t="s">
        <v>435</v>
      </c>
      <c r="B58" s="372" t="s">
        <v>542</v>
      </c>
      <c r="C58" s="438">
        <f t="shared" si="2"/>
        <v>5.2777777777777777</v>
      </c>
      <c r="D58" s="371"/>
      <c r="E58" s="377">
        <v>19</v>
      </c>
      <c r="F58" s="372" t="str">
        <f t="shared" si="3"/>
        <v>Zender Challenge</v>
      </c>
    </row>
    <row r="59" spans="1:6" ht="12.95" customHeight="1">
      <c r="A59" s="372" t="s">
        <v>435</v>
      </c>
      <c r="B59" s="372" t="s">
        <v>543</v>
      </c>
      <c r="C59" s="438">
        <f t="shared" si="2"/>
        <v>5.2777777777777777</v>
      </c>
      <c r="D59" s="371"/>
      <c r="E59" s="377">
        <v>19</v>
      </c>
      <c r="F59" s="372" t="str">
        <f t="shared" si="3"/>
        <v>Zender Dynamic</v>
      </c>
    </row>
    <row r="60" spans="1:6" ht="12.95" customHeight="1">
      <c r="A60" s="372" t="s">
        <v>423</v>
      </c>
      <c r="B60" s="372" t="s">
        <v>517</v>
      </c>
      <c r="C60" s="438">
        <f t="shared" si="2"/>
        <v>5</v>
      </c>
      <c r="D60" s="371"/>
      <c r="E60" s="377">
        <v>18</v>
      </c>
      <c r="F60" s="372" t="str">
        <f t="shared" si="3"/>
        <v>Racing Hart J5 Pro</v>
      </c>
    </row>
    <row r="61" spans="1:6" ht="12.95" customHeight="1">
      <c r="A61" s="372" t="s">
        <v>382</v>
      </c>
      <c r="B61" s="372" t="s">
        <v>437</v>
      </c>
      <c r="C61" s="438">
        <f t="shared" si="2"/>
        <v>4.4444444444444446</v>
      </c>
      <c r="D61" s="371"/>
      <c r="E61" s="377">
        <v>16</v>
      </c>
      <c r="F61" s="372" t="str">
        <f t="shared" si="3"/>
        <v>5Zigen GN+</v>
      </c>
    </row>
    <row r="62" spans="1:6" ht="12.95" customHeight="1">
      <c r="A62" s="372" t="s">
        <v>388</v>
      </c>
      <c r="B62" s="372" t="s">
        <v>450</v>
      </c>
      <c r="C62" s="438">
        <f t="shared" si="2"/>
        <v>4.4444444444444446</v>
      </c>
      <c r="D62" s="371"/>
      <c r="E62" s="377">
        <v>16</v>
      </c>
      <c r="F62" s="372" t="str">
        <f t="shared" si="3"/>
        <v>Blitz Technospeed Type 03</v>
      </c>
    </row>
    <row r="63" spans="1:6" ht="12.95" customHeight="1">
      <c r="A63" s="372" t="s">
        <v>389</v>
      </c>
      <c r="B63" s="372" t="s">
        <v>452</v>
      </c>
      <c r="C63" s="438">
        <f t="shared" si="2"/>
        <v>4.4444444444444446</v>
      </c>
      <c r="D63" s="371"/>
      <c r="E63" s="377">
        <v>16</v>
      </c>
      <c r="F63" s="372" t="str">
        <f t="shared" si="3"/>
        <v>Borbet CB</v>
      </c>
    </row>
    <row r="64" spans="1:6" ht="12.95" customHeight="1">
      <c r="A64" s="372" t="s">
        <v>390</v>
      </c>
      <c r="B64" s="372" t="s">
        <v>453</v>
      </c>
      <c r="C64" s="438">
        <f t="shared" si="2"/>
        <v>4.4444444444444446</v>
      </c>
      <c r="D64" s="371"/>
      <c r="E64" s="377">
        <v>16</v>
      </c>
      <c r="F64" s="372" t="str">
        <f t="shared" si="3"/>
        <v>Boyd Coddington Slayer</v>
      </c>
    </row>
    <row r="65" spans="1:6" ht="12.95" customHeight="1">
      <c r="A65" s="372" t="s">
        <v>391</v>
      </c>
      <c r="B65" s="372" t="s">
        <v>454</v>
      </c>
      <c r="C65" s="438">
        <f t="shared" si="2"/>
        <v>4.4444444444444446</v>
      </c>
      <c r="D65" s="371"/>
      <c r="E65" s="377">
        <v>16</v>
      </c>
      <c r="F65" s="372" t="str">
        <f t="shared" si="3"/>
        <v>Brabus Monoblock IV</v>
      </c>
    </row>
    <row r="66" spans="1:6" ht="12.95" customHeight="1">
      <c r="A66" s="372" t="s">
        <v>391</v>
      </c>
      <c r="B66" s="372" t="s">
        <v>456</v>
      </c>
      <c r="C66" s="438">
        <f t="shared" si="2"/>
        <v>4.4444444444444446</v>
      </c>
      <c r="D66" s="371"/>
      <c r="E66" s="377">
        <v>16</v>
      </c>
      <c r="F66" s="372" t="str">
        <f t="shared" si="3"/>
        <v>Brabus Monoblock S</v>
      </c>
    </row>
    <row r="67" spans="1:6" ht="12.95" customHeight="1">
      <c r="A67" s="372" t="s">
        <v>391</v>
      </c>
      <c r="B67" s="372" t="s">
        <v>455</v>
      </c>
      <c r="C67" s="438">
        <f t="shared" ref="C67:C98" si="4">E67/$E$2*10</f>
        <v>4.4444444444444446</v>
      </c>
      <c r="D67" s="371"/>
      <c r="E67" s="377">
        <v>16</v>
      </c>
      <c r="F67" s="372" t="str">
        <f t="shared" ref="F67:F98" si="5">A67&amp;" "&amp;B67</f>
        <v>Brabus Monoblock VI</v>
      </c>
    </row>
    <row r="68" spans="1:6" ht="12.95" customHeight="1">
      <c r="A68" s="372" t="s">
        <v>400</v>
      </c>
      <c r="B68" s="372" t="s">
        <v>476</v>
      </c>
      <c r="C68" s="438">
        <f t="shared" si="4"/>
        <v>4.4444444444444446</v>
      </c>
      <c r="D68" s="371"/>
      <c r="E68" s="377">
        <v>16</v>
      </c>
      <c r="F68" s="372" t="str">
        <f t="shared" si="5"/>
        <v>Fikse FM/10</v>
      </c>
    </row>
    <row r="69" spans="1:6" ht="12.95" customHeight="1">
      <c r="A69" s="372" t="s">
        <v>406</v>
      </c>
      <c r="B69" s="372" t="s">
        <v>482</v>
      </c>
      <c r="C69" s="438">
        <f t="shared" si="4"/>
        <v>4.4444444444444446</v>
      </c>
      <c r="D69" s="371"/>
      <c r="E69" s="377">
        <v>16</v>
      </c>
      <c r="F69" s="372" t="str">
        <f t="shared" si="5"/>
        <v>Halibrand Sprint II</v>
      </c>
    </row>
    <row r="70" spans="1:6" ht="12.95" customHeight="1">
      <c r="A70" s="372" t="s">
        <v>407</v>
      </c>
      <c r="B70" s="372" t="s">
        <v>483</v>
      </c>
      <c r="C70" s="438">
        <f t="shared" si="4"/>
        <v>4.4444444444444446</v>
      </c>
      <c r="D70" s="371"/>
      <c r="E70" s="377">
        <v>16</v>
      </c>
      <c r="F70" s="372" t="str">
        <f t="shared" si="5"/>
        <v>Hamann PG-III</v>
      </c>
    </row>
    <row r="71" spans="1:6" ht="12.95" customHeight="1">
      <c r="A71" s="372" t="s">
        <v>411</v>
      </c>
      <c r="B71" s="372" t="s">
        <v>492</v>
      </c>
      <c r="C71" s="438">
        <f t="shared" si="4"/>
        <v>4.4444444444444446</v>
      </c>
      <c r="D71" s="371"/>
      <c r="E71" s="377">
        <v>16</v>
      </c>
      <c r="F71" s="372" t="str">
        <f t="shared" si="5"/>
        <v>Kosei RT SPORT</v>
      </c>
    </row>
    <row r="72" spans="1:6" ht="12.95" customHeight="1">
      <c r="A72" s="372" t="s">
        <v>417</v>
      </c>
      <c r="B72" s="372" t="s">
        <v>504</v>
      </c>
      <c r="C72" s="438">
        <f t="shared" si="4"/>
        <v>4.4444444444444446</v>
      </c>
      <c r="D72" s="371"/>
      <c r="E72" s="377">
        <v>16</v>
      </c>
      <c r="F72" s="372" t="str">
        <f t="shared" si="5"/>
        <v>Modulare M3</v>
      </c>
    </row>
    <row r="73" spans="1:6" ht="12.95" customHeight="1">
      <c r="A73" s="372" t="s">
        <v>418</v>
      </c>
      <c r="B73" s="372" t="s">
        <v>506</v>
      </c>
      <c r="C73" s="438">
        <f t="shared" si="4"/>
        <v>4.4444444444444446</v>
      </c>
      <c r="D73" s="371"/>
      <c r="E73" s="377">
        <v>16</v>
      </c>
      <c r="F73" s="372" t="str">
        <f t="shared" si="5"/>
        <v>Momo GTR</v>
      </c>
    </row>
    <row r="74" spans="1:6" ht="12.95" customHeight="1">
      <c r="A74" s="372" t="s">
        <v>420</v>
      </c>
      <c r="B74" s="372" t="s">
        <v>511</v>
      </c>
      <c r="C74" s="438">
        <f t="shared" si="4"/>
        <v>4.4444444444444446</v>
      </c>
      <c r="D74" s="371"/>
      <c r="E74" s="377">
        <v>16</v>
      </c>
      <c r="F74" s="372" t="str">
        <f t="shared" si="5"/>
        <v>Oettinger Type RXX</v>
      </c>
    </row>
    <row r="75" spans="1:6" ht="12.95" customHeight="1">
      <c r="A75" s="372" t="s">
        <v>422</v>
      </c>
      <c r="B75" s="372" t="s">
        <v>515</v>
      </c>
      <c r="C75" s="438">
        <f t="shared" si="4"/>
        <v>4.4444444444444446</v>
      </c>
      <c r="D75" s="371"/>
      <c r="E75" s="377">
        <v>16</v>
      </c>
      <c r="F75" s="372" t="str">
        <f t="shared" si="5"/>
        <v>Racing Dynamics RS 2 Modular</v>
      </c>
    </row>
    <row r="76" spans="1:6" ht="12.95" customHeight="1">
      <c r="A76" s="372" t="s">
        <v>425</v>
      </c>
      <c r="B76" s="372" t="s">
        <v>522</v>
      </c>
      <c r="C76" s="438">
        <f t="shared" si="4"/>
        <v>4.4444444444444446</v>
      </c>
      <c r="D76" s="371"/>
      <c r="E76" s="377">
        <v>16</v>
      </c>
      <c r="F76" s="372" t="str">
        <f t="shared" si="5"/>
        <v>Rota P45R</v>
      </c>
    </row>
    <row r="77" spans="1:6" ht="12.95" customHeight="1">
      <c r="A77" s="372" t="s">
        <v>429</v>
      </c>
      <c r="B77" s="372" t="s">
        <v>527</v>
      </c>
      <c r="C77" s="438">
        <f t="shared" si="4"/>
        <v>4.4444444444444446</v>
      </c>
      <c r="D77" s="371"/>
      <c r="E77" s="377">
        <v>16</v>
      </c>
      <c r="F77" s="372" t="str">
        <f t="shared" si="5"/>
        <v>Tenzo R DC-6 V1</v>
      </c>
    </row>
    <row r="78" spans="1:6" ht="12.95" customHeight="1">
      <c r="A78" s="372" t="s">
        <v>429</v>
      </c>
      <c r="B78" s="372" t="s">
        <v>528</v>
      </c>
      <c r="C78" s="438">
        <f t="shared" si="4"/>
        <v>4.4444444444444446</v>
      </c>
      <c r="D78" s="371"/>
      <c r="E78" s="377">
        <v>16</v>
      </c>
      <c r="F78" s="372" t="str">
        <f t="shared" si="5"/>
        <v>Tenzo R RS-5</v>
      </c>
    </row>
    <row r="79" spans="1:6" ht="12.95" customHeight="1">
      <c r="A79" s="372" t="s">
        <v>430</v>
      </c>
      <c r="B79" s="372" t="s">
        <v>530</v>
      </c>
      <c r="C79" s="438">
        <f t="shared" si="4"/>
        <v>4.4444444444444446</v>
      </c>
      <c r="D79" s="371"/>
      <c r="E79" s="377">
        <v>16</v>
      </c>
      <c r="F79" s="372" t="str">
        <f t="shared" si="5"/>
        <v>TSW Catalunya</v>
      </c>
    </row>
    <row r="80" spans="1:6" ht="12.95" customHeight="1">
      <c r="A80" s="372" t="s">
        <v>434</v>
      </c>
      <c r="B80" s="372" t="s">
        <v>539</v>
      </c>
      <c r="C80" s="438">
        <f t="shared" si="4"/>
        <v>4.4444444444444446</v>
      </c>
      <c r="D80" s="371"/>
      <c r="E80" s="377">
        <v>16</v>
      </c>
      <c r="F80" s="372" t="str">
        <f t="shared" si="5"/>
        <v>Work CRkai</v>
      </c>
    </row>
    <row r="81" spans="1:6" ht="12.95" customHeight="1">
      <c r="A81" s="372" t="s">
        <v>384</v>
      </c>
      <c r="B81" s="372" t="s">
        <v>442</v>
      </c>
      <c r="C81" s="438">
        <f t="shared" si="4"/>
        <v>3.6111111111111112</v>
      </c>
      <c r="D81" s="371"/>
      <c r="E81" s="377">
        <v>13</v>
      </c>
      <c r="F81" s="372" t="str">
        <f t="shared" si="5"/>
        <v>American Racing Outlaw II</v>
      </c>
    </row>
    <row r="82" spans="1:6" ht="12.95" customHeight="1">
      <c r="A82" s="372" t="s">
        <v>384</v>
      </c>
      <c r="B82" s="372" t="s">
        <v>441</v>
      </c>
      <c r="C82" s="438">
        <f t="shared" si="4"/>
        <v>3.6111111111111112</v>
      </c>
      <c r="D82" s="371"/>
      <c r="E82" s="377">
        <v>13</v>
      </c>
      <c r="F82" s="372" t="str">
        <f t="shared" si="5"/>
        <v>American Racing Torq-Thrust M</v>
      </c>
    </row>
    <row r="83" spans="1:6" ht="12.95" customHeight="1">
      <c r="A83" s="372" t="s">
        <v>394</v>
      </c>
      <c r="B83" s="372" t="s">
        <v>460</v>
      </c>
      <c r="C83" s="438">
        <f t="shared" si="4"/>
        <v>3.6111111111111112</v>
      </c>
      <c r="D83" s="371"/>
      <c r="E83" s="377">
        <v>13</v>
      </c>
      <c r="F83" s="372" t="str">
        <f t="shared" si="5"/>
        <v>Compomotive ML</v>
      </c>
    </row>
    <row r="84" spans="1:6" ht="12.95" customHeight="1">
      <c r="A84" s="372" t="s">
        <v>395</v>
      </c>
      <c r="B84" s="372" t="s">
        <v>465</v>
      </c>
      <c r="C84" s="438">
        <f t="shared" si="4"/>
        <v>3.6111111111111112</v>
      </c>
      <c r="D84" s="371"/>
      <c r="E84" s="377">
        <v>13</v>
      </c>
      <c r="F84" s="372" t="str">
        <f t="shared" si="5"/>
        <v>Cragar S/S Super Sport</v>
      </c>
    </row>
    <row r="85" spans="1:6" ht="12.95" customHeight="1">
      <c r="A85" s="372" t="s">
        <v>395</v>
      </c>
      <c r="B85" s="372" t="s">
        <v>464</v>
      </c>
      <c r="C85" s="438">
        <f t="shared" si="4"/>
        <v>3.6111111111111112</v>
      </c>
      <c r="D85" s="371"/>
      <c r="E85" s="377">
        <v>13</v>
      </c>
      <c r="F85" s="372" t="str">
        <f t="shared" si="5"/>
        <v>Cragar Street Lock D Window</v>
      </c>
    </row>
    <row r="86" spans="1:6" ht="12.95" customHeight="1">
      <c r="A86" s="372" t="s">
        <v>396</v>
      </c>
      <c r="B86" s="372" t="s">
        <v>466</v>
      </c>
      <c r="C86" s="438">
        <f t="shared" si="4"/>
        <v>3.6111111111111112</v>
      </c>
      <c r="D86" s="371"/>
      <c r="E86" s="377">
        <v>13</v>
      </c>
      <c r="F86" s="372" t="str">
        <f t="shared" si="5"/>
        <v>Dropstars DSO3</v>
      </c>
    </row>
    <row r="87" spans="1:6" ht="12.95" customHeight="1">
      <c r="A87" s="372" t="s">
        <v>399</v>
      </c>
      <c r="B87" s="372" t="s">
        <v>472</v>
      </c>
      <c r="C87" s="438">
        <f t="shared" si="4"/>
        <v>3.6111111111111112</v>
      </c>
      <c r="D87" s="371"/>
      <c r="E87" s="377">
        <v>13</v>
      </c>
      <c r="F87" s="372" t="str">
        <f t="shared" si="5"/>
        <v>EnKei RS6</v>
      </c>
    </row>
    <row r="88" spans="1:6" ht="12.95" customHeight="1">
      <c r="A88" s="372" t="s">
        <v>414</v>
      </c>
      <c r="B88" s="372" t="s">
        <v>500</v>
      </c>
      <c r="C88" s="438">
        <f t="shared" si="4"/>
        <v>3.6111111111111112</v>
      </c>
      <c r="D88" s="371"/>
      <c r="E88" s="377">
        <v>13</v>
      </c>
      <c r="F88" s="372" t="str">
        <f t="shared" si="5"/>
        <v>Lorinser LM 6</v>
      </c>
    </row>
    <row r="89" spans="1:6" ht="12.95" customHeight="1">
      <c r="A89" s="372" t="s">
        <v>416</v>
      </c>
      <c r="B89" s="372" t="s">
        <v>503</v>
      </c>
      <c r="C89" s="438">
        <f t="shared" si="4"/>
        <v>3.6111111111111112</v>
      </c>
      <c r="D89" s="371"/>
      <c r="E89" s="377">
        <v>13</v>
      </c>
      <c r="F89" s="372" t="str">
        <f t="shared" si="5"/>
        <v>Mickey Thompson Classic Lock</v>
      </c>
    </row>
    <row r="90" spans="1:6" ht="12.95" customHeight="1">
      <c r="A90" s="372" t="s">
        <v>418</v>
      </c>
      <c r="B90" s="372" t="s">
        <v>507</v>
      </c>
      <c r="C90" s="438">
        <f t="shared" si="4"/>
        <v>3.6111111111111112</v>
      </c>
      <c r="D90" s="371"/>
      <c r="E90" s="377">
        <v>13</v>
      </c>
      <c r="F90" s="372" t="str">
        <f t="shared" si="5"/>
        <v>Momo TEN-S</v>
      </c>
    </row>
    <row r="91" spans="1:6" ht="12.95" customHeight="1">
      <c r="A91" s="372" t="s">
        <v>421</v>
      </c>
      <c r="B91" s="372" t="s">
        <v>513</v>
      </c>
      <c r="C91" s="438">
        <f t="shared" si="4"/>
        <v>3.6111111111111112</v>
      </c>
      <c r="D91" s="371"/>
      <c r="E91" s="377">
        <v>13</v>
      </c>
      <c r="F91" s="372" t="str">
        <f t="shared" si="5"/>
        <v>OZ Racing Superleggera III Forged</v>
      </c>
    </row>
    <row r="92" spans="1:6" ht="12.95" customHeight="1">
      <c r="A92" s="372" t="s">
        <v>423</v>
      </c>
      <c r="B92" s="372" t="s">
        <v>518</v>
      </c>
      <c r="C92" s="438">
        <f t="shared" si="4"/>
        <v>3.6111111111111112</v>
      </c>
      <c r="D92" s="371"/>
      <c r="E92" s="377">
        <v>13</v>
      </c>
      <c r="F92" s="372" t="str">
        <f t="shared" si="5"/>
        <v>Racing Hart C4</v>
      </c>
    </row>
    <row r="93" spans="1:6" ht="12.95" customHeight="1">
      <c r="A93" s="372" t="s">
        <v>424</v>
      </c>
      <c r="B93" s="372" t="s">
        <v>520</v>
      </c>
      <c r="C93" s="438">
        <f t="shared" si="4"/>
        <v>3.6111111111111112</v>
      </c>
      <c r="D93" s="371"/>
      <c r="E93" s="377">
        <v>13</v>
      </c>
      <c r="F93" s="372" t="str">
        <f t="shared" si="5"/>
        <v>RO_JA Motorsports R2-5</v>
      </c>
    </row>
    <row r="94" spans="1:6" ht="12.95" customHeight="1">
      <c r="A94" s="372" t="s">
        <v>424</v>
      </c>
      <c r="B94" s="372" t="s">
        <v>519</v>
      </c>
      <c r="C94" s="438">
        <f t="shared" si="4"/>
        <v>3.6111111111111112</v>
      </c>
      <c r="D94" s="371"/>
      <c r="E94" s="377">
        <v>13</v>
      </c>
      <c r="F94" s="372" t="str">
        <f t="shared" si="5"/>
        <v>RO_JA Motorsports R2-7</v>
      </c>
    </row>
    <row r="95" spans="1:6" ht="12.95" customHeight="1">
      <c r="A95" s="372" t="s">
        <v>434</v>
      </c>
      <c r="B95" s="372" t="s">
        <v>540</v>
      </c>
      <c r="C95" s="438">
        <f t="shared" si="4"/>
        <v>3.6111111111111112</v>
      </c>
      <c r="D95" s="371"/>
      <c r="E95" s="377">
        <v>13</v>
      </c>
      <c r="F95" s="372" t="str">
        <f t="shared" si="5"/>
        <v>Work Equip 01</v>
      </c>
    </row>
    <row r="96" spans="1:6" ht="12.95" customHeight="1">
      <c r="A96" s="372" t="s">
        <v>435</v>
      </c>
      <c r="B96" s="372" t="s">
        <v>544</v>
      </c>
      <c r="C96" s="438">
        <f t="shared" si="4"/>
        <v>3.6111111111111112</v>
      </c>
      <c r="D96" s="371"/>
      <c r="E96" s="377">
        <v>13</v>
      </c>
      <c r="F96" s="372" t="str">
        <f t="shared" si="5"/>
        <v>Zender Turbo 2</v>
      </c>
    </row>
    <row r="97" spans="1:6" ht="12.95" customHeight="1">
      <c r="A97" s="372" t="s">
        <v>389</v>
      </c>
      <c r="B97" s="372" t="s">
        <v>349</v>
      </c>
      <c r="C97" s="438">
        <f t="shared" si="4"/>
        <v>2.5</v>
      </c>
      <c r="D97" s="371"/>
      <c r="E97" s="377">
        <v>9</v>
      </c>
      <c r="F97" s="372" t="str">
        <f t="shared" si="5"/>
        <v>Borbet A</v>
      </c>
    </row>
    <row r="98" spans="1:6" ht="12.95" customHeight="1">
      <c r="A98" s="372" t="s">
        <v>394</v>
      </c>
      <c r="B98" s="372" t="s">
        <v>461</v>
      </c>
      <c r="C98" s="438">
        <f t="shared" si="4"/>
        <v>2.5</v>
      </c>
      <c r="D98" s="371"/>
      <c r="E98" s="377">
        <v>9</v>
      </c>
      <c r="F98" s="372" t="str">
        <f t="shared" si="5"/>
        <v>Compomotive TH2</v>
      </c>
    </row>
    <row r="99" spans="1:6" ht="12.95" customHeight="1">
      <c r="A99" s="372" t="s">
        <v>395</v>
      </c>
      <c r="B99" s="372" t="s">
        <v>463</v>
      </c>
      <c r="C99" s="438">
        <f t="shared" ref="C99:C116" si="6">E99/$E$2*10</f>
        <v>2.5</v>
      </c>
      <c r="D99" s="371"/>
      <c r="E99" s="377">
        <v>9</v>
      </c>
      <c r="F99" s="372" t="str">
        <f t="shared" ref="F99:F116" si="7">A99&amp;" "&amp;B99</f>
        <v>Cragar Smoothie</v>
      </c>
    </row>
    <row r="100" spans="1:6" ht="12.95" customHeight="1">
      <c r="A100" s="372" t="s">
        <v>414</v>
      </c>
      <c r="B100" s="372" t="s">
        <v>499</v>
      </c>
      <c r="C100" s="438">
        <f t="shared" si="6"/>
        <v>2.5</v>
      </c>
      <c r="D100" s="371"/>
      <c r="E100" s="377">
        <v>9</v>
      </c>
      <c r="F100" s="372" t="str">
        <f t="shared" si="7"/>
        <v>Lorinser RSK-6</v>
      </c>
    </row>
    <row r="101" spans="1:6" ht="12.95" customHeight="1">
      <c r="A101" s="372" t="s">
        <v>420</v>
      </c>
      <c r="B101" s="372" t="s">
        <v>512</v>
      </c>
      <c r="C101" s="438">
        <f t="shared" si="6"/>
        <v>2.5</v>
      </c>
      <c r="D101" s="371"/>
      <c r="E101" s="377">
        <v>9</v>
      </c>
      <c r="F101" s="372" t="str">
        <f t="shared" si="7"/>
        <v>Oettinger Type RE</v>
      </c>
    </row>
    <row r="102" spans="1:6" ht="12.95" customHeight="1">
      <c r="A102" s="372" t="s">
        <v>421</v>
      </c>
      <c r="B102" s="372" t="s">
        <v>514</v>
      </c>
      <c r="C102" s="438">
        <f t="shared" si="6"/>
        <v>2.5</v>
      </c>
      <c r="D102" s="371"/>
      <c r="E102" s="377">
        <v>9</v>
      </c>
      <c r="F102" s="372" t="str">
        <f t="shared" si="7"/>
        <v>OZ Racing Superturismo GT</v>
      </c>
    </row>
    <row r="103" spans="1:6" ht="12.95" customHeight="1">
      <c r="A103" s="372" t="s">
        <v>430</v>
      </c>
      <c r="B103" s="372" t="s">
        <v>531</v>
      </c>
      <c r="C103" s="438">
        <f t="shared" si="6"/>
        <v>2.5</v>
      </c>
      <c r="D103" s="371"/>
      <c r="E103" s="377">
        <v>9</v>
      </c>
      <c r="F103" s="372" t="str">
        <f t="shared" si="7"/>
        <v>TSW Hockenheim R</v>
      </c>
    </row>
    <row r="104" spans="1:6" ht="12.95" customHeight="1">
      <c r="A104" s="372" t="s">
        <v>385</v>
      </c>
      <c r="B104" s="372" t="s">
        <v>443</v>
      </c>
      <c r="C104" s="438">
        <f t="shared" si="6"/>
        <v>1.6666666666666665</v>
      </c>
      <c r="D104" s="371"/>
      <c r="E104" s="377">
        <v>6</v>
      </c>
      <c r="F104" s="372" t="str">
        <f t="shared" si="7"/>
        <v>Asanti AF 118</v>
      </c>
    </row>
    <row r="105" spans="1:6" ht="12.95" customHeight="1">
      <c r="A105" s="372" t="s">
        <v>385</v>
      </c>
      <c r="B105" s="372" t="s">
        <v>444</v>
      </c>
      <c r="C105" s="438">
        <f t="shared" si="6"/>
        <v>1.6666666666666665</v>
      </c>
      <c r="D105" s="371"/>
      <c r="E105" s="377">
        <v>6</v>
      </c>
      <c r="F105" s="372" t="str">
        <f t="shared" si="7"/>
        <v>Asanti AF 134</v>
      </c>
    </row>
    <row r="106" spans="1:6" ht="12.95" customHeight="1">
      <c r="A106" s="372" t="s">
        <v>385</v>
      </c>
      <c r="B106" s="372" t="s">
        <v>445</v>
      </c>
      <c r="C106" s="438">
        <f t="shared" si="6"/>
        <v>1.6666666666666665</v>
      </c>
      <c r="D106" s="371"/>
      <c r="E106" s="377">
        <v>6</v>
      </c>
      <c r="F106" s="372" t="str">
        <f t="shared" si="7"/>
        <v>Asanti AF 140</v>
      </c>
    </row>
    <row r="107" spans="1:6" ht="12.95" customHeight="1">
      <c r="A107" s="372" t="s">
        <v>394</v>
      </c>
      <c r="B107" s="372" t="s">
        <v>462</v>
      </c>
      <c r="C107" s="438">
        <f t="shared" si="6"/>
        <v>1.6666666666666665</v>
      </c>
      <c r="D107" s="371"/>
      <c r="E107" s="377">
        <v>6</v>
      </c>
      <c r="F107" s="372" t="str">
        <f t="shared" si="7"/>
        <v>Compomotive MO5</v>
      </c>
    </row>
    <row r="108" spans="1:6" ht="12.95" customHeight="1">
      <c r="A108" s="372" t="s">
        <v>399</v>
      </c>
      <c r="B108" s="372" t="s">
        <v>473</v>
      </c>
      <c r="C108" s="438">
        <f t="shared" si="6"/>
        <v>1.6666666666666665</v>
      </c>
      <c r="D108" s="371"/>
      <c r="E108" s="377">
        <v>6</v>
      </c>
      <c r="F108" s="372" t="str">
        <f t="shared" si="7"/>
        <v>EnKei Tarmac Evo</v>
      </c>
    </row>
    <row r="109" spans="1:6" ht="12.95" customHeight="1">
      <c r="A109" s="372" t="s">
        <v>422</v>
      </c>
      <c r="B109" s="372" t="s">
        <v>516</v>
      </c>
      <c r="C109" s="438">
        <f t="shared" si="6"/>
        <v>1.6666666666666665</v>
      </c>
      <c r="D109" s="371"/>
      <c r="E109" s="377">
        <v>6</v>
      </c>
      <c r="F109" s="372" t="str">
        <f t="shared" si="7"/>
        <v>Racing Dynamics RGS</v>
      </c>
    </row>
    <row r="110" spans="1:6" ht="12.95" customHeight="1">
      <c r="A110" s="372" t="s">
        <v>434</v>
      </c>
      <c r="B110" s="372" t="s">
        <v>541</v>
      </c>
      <c r="C110" s="438">
        <f t="shared" si="6"/>
        <v>1.6666666666666665</v>
      </c>
      <c r="D110" s="371"/>
      <c r="E110" s="377">
        <v>6</v>
      </c>
      <c r="F110" s="372" t="str">
        <f t="shared" si="7"/>
        <v>Work Design DH</v>
      </c>
    </row>
    <row r="111" spans="1:6" ht="12.95" customHeight="1">
      <c r="A111" s="372" t="s">
        <v>397</v>
      </c>
      <c r="B111" s="372" t="s">
        <v>467</v>
      </c>
      <c r="C111" s="438">
        <f t="shared" si="6"/>
        <v>-5.2777777777777777</v>
      </c>
      <c r="D111" s="371"/>
      <c r="E111" s="377">
        <v>-19</v>
      </c>
      <c r="F111" s="372" t="str">
        <f t="shared" si="7"/>
        <v>DUB Big Chips</v>
      </c>
    </row>
    <row r="112" spans="1:6" ht="12.95" customHeight="1">
      <c r="A112" s="372" t="s">
        <v>397</v>
      </c>
      <c r="B112" s="372" t="s">
        <v>468</v>
      </c>
      <c r="C112" s="438">
        <f t="shared" si="6"/>
        <v>-5.2777777777777777</v>
      </c>
      <c r="D112" s="371"/>
      <c r="E112" s="377">
        <v>-19</v>
      </c>
      <c r="F112" s="372" t="str">
        <f t="shared" si="7"/>
        <v>DUB Presidential</v>
      </c>
    </row>
    <row r="113" spans="1:6" ht="12.95" customHeight="1">
      <c r="A113" s="372" t="s">
        <v>413</v>
      </c>
      <c r="B113" s="372" t="s">
        <v>496</v>
      </c>
      <c r="C113" s="438">
        <f t="shared" si="6"/>
        <v>-5.2777777777777777</v>
      </c>
      <c r="D113" s="371"/>
      <c r="E113" s="377">
        <v>-19</v>
      </c>
      <c r="F113" s="372" t="str">
        <f t="shared" si="7"/>
        <v>Lexani LTC-701</v>
      </c>
    </row>
    <row r="114" spans="1:6" ht="12.95" customHeight="1">
      <c r="A114" s="372" t="s">
        <v>413</v>
      </c>
      <c r="B114" s="372" t="s">
        <v>497</v>
      </c>
      <c r="C114" s="438">
        <f t="shared" si="6"/>
        <v>-5.2777777777777777</v>
      </c>
      <c r="D114" s="371"/>
      <c r="E114" s="377">
        <v>-19</v>
      </c>
      <c r="F114" s="372" t="str">
        <f t="shared" si="7"/>
        <v>Lexani LTC-704</v>
      </c>
    </row>
    <row r="115" spans="1:6" ht="12.95" customHeight="1">
      <c r="A115" s="372" t="s">
        <v>413</v>
      </c>
      <c r="B115" s="372" t="s">
        <v>498</v>
      </c>
      <c r="C115" s="438">
        <f t="shared" si="6"/>
        <v>-5.2777777777777777</v>
      </c>
      <c r="D115" s="371"/>
      <c r="E115" s="377">
        <v>-19</v>
      </c>
      <c r="F115" s="372" t="str">
        <f t="shared" si="7"/>
        <v>Lexani Mistik Spikes</v>
      </c>
    </row>
    <row r="116" spans="1:6" ht="12.95" customHeight="1">
      <c r="A116" s="372" t="s">
        <v>415</v>
      </c>
      <c r="B116" s="372" t="s">
        <v>501</v>
      </c>
      <c r="C116" s="438">
        <f t="shared" si="6"/>
        <v>-5.2777777777777777</v>
      </c>
      <c r="D116" s="371"/>
      <c r="E116" s="377">
        <v>-19</v>
      </c>
      <c r="F116" s="372" t="str">
        <f t="shared" si="7"/>
        <v>Lowenhart LDR</v>
      </c>
    </row>
    <row r="117" spans="1:6" ht="12.95" customHeight="1">
      <c r="A117" s="374" t="str">
        <f>"Total: "&amp;ROWS(3:116)</f>
        <v>Total: 114</v>
      </c>
      <c r="C117" s="365"/>
      <c r="D117" s="365"/>
      <c r="E117" s="365"/>
    </row>
  </sheetData>
  <sheetProtection selectLockedCells="1" sort="0" autoFilter="0"/>
  <mergeCells count="1">
    <mergeCell ref="A1:C1"/>
  </mergeCells>
  <conditionalFormatting sqref="A1">
    <cfRule type="containsErrors" dxfId="30" priority="1" stopIfTrue="1">
      <formula>ISERROR(A1)</formula>
    </cfRule>
  </conditionalFormatting>
  <dataValidations count="1">
    <dataValidation type="list" allowBlank="1" showInputMessage="1" showErrorMessage="1" sqref="D3:D116">
      <formula1>Favorite_Option</formula1>
    </dataValidation>
  </dataValidations>
  <pageMargins left="0.7" right="0.7" top="0.75" bottom="0.75" header="0.3" footer="0.3"/>
  <pageSetup scale="48" orientation="portrait" horizontalDpi="4294967293" verticalDpi="4294967293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A578"/>
  <sheetViews>
    <sheetView zoomScaleNormal="100" workbookViewId="0">
      <pane ySplit="2" topLeftCell="A3" activePane="bottomLeft" state="frozen"/>
      <selection pane="bottomLeft" activeCell="E15" sqref="E15"/>
    </sheetView>
  </sheetViews>
  <sheetFormatPr defaultRowHeight="12.95" customHeight="1"/>
  <cols>
    <col min="1" max="1" width="9" style="3" bestFit="1" customWidth="1"/>
    <col min="2" max="2" width="12" style="381" bestFit="1" customWidth="1"/>
    <col min="3" max="3" width="33.5703125" style="381" bestFit="1" customWidth="1"/>
    <col min="4" max="4" width="13.140625" style="381" customWidth="1"/>
    <col min="5" max="7" width="13.140625" style="3" customWidth="1"/>
    <col min="8" max="8" width="13.140625" style="420" customWidth="1"/>
    <col min="9" max="10" width="13.140625" style="381" customWidth="1"/>
    <col min="11" max="12" width="13.140625" style="421" customWidth="1"/>
    <col min="13" max="13" width="25.28515625" style="421" bestFit="1" customWidth="1"/>
    <col min="14" max="14" width="11.5703125" style="421" customWidth="1"/>
    <col min="15" max="15" width="11.5703125" style="422" customWidth="1"/>
    <col min="16" max="17" width="11.5703125" style="3" customWidth="1"/>
    <col min="18" max="18" width="11.5703125" style="422" customWidth="1"/>
    <col min="19" max="19" width="11.5703125" style="421" customWidth="1"/>
    <col min="20" max="20" width="11.5703125" style="3" customWidth="1"/>
    <col min="21" max="21" width="11.5703125" style="421" customWidth="1"/>
    <col min="22" max="23" width="11.5703125" style="381" customWidth="1"/>
    <col min="24" max="24" width="11.5703125" style="417" customWidth="1"/>
    <col min="25" max="26" width="11.5703125" style="418" customWidth="1"/>
    <col min="27" max="27" width="43.7109375" style="418" customWidth="1"/>
    <col min="28" max="16384" width="9.140625" style="381"/>
  </cols>
  <sheetData>
    <row r="1" spans="1:27" ht="12.95" customHeight="1">
      <c r="A1" s="648" t="s">
        <v>1081</v>
      </c>
      <c r="B1" s="648"/>
      <c r="C1" s="64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  <c r="O1" s="379"/>
      <c r="P1" s="380"/>
      <c r="Q1" s="380"/>
      <c r="R1" s="379"/>
      <c r="S1" s="647" t="s">
        <v>1029</v>
      </c>
      <c r="T1" s="647"/>
      <c r="U1" s="647" t="s">
        <v>1030</v>
      </c>
      <c r="V1" s="647"/>
      <c r="W1" s="647" t="s">
        <v>1031</v>
      </c>
      <c r="X1" s="647"/>
      <c r="Y1" s="647" t="s">
        <v>1036</v>
      </c>
      <c r="Z1" s="647"/>
      <c r="AA1" s="381"/>
    </row>
    <row r="2" spans="1:27" s="386" customFormat="1" ht="12.95" customHeight="1">
      <c r="A2" s="366" t="s">
        <v>351</v>
      </c>
      <c r="B2" s="367" t="s">
        <v>352</v>
      </c>
      <c r="C2" s="367" t="s">
        <v>353</v>
      </c>
      <c r="D2" s="382" t="s">
        <v>403</v>
      </c>
      <c r="E2" s="383" t="s">
        <v>354</v>
      </c>
      <c r="F2" s="383" t="s">
        <v>355</v>
      </c>
      <c r="G2" s="384" t="s">
        <v>356</v>
      </c>
      <c r="H2" s="384" t="s">
        <v>357</v>
      </c>
      <c r="I2" s="384" t="s">
        <v>358</v>
      </c>
      <c r="J2" s="384" t="s">
        <v>359</v>
      </c>
      <c r="K2" s="384" t="s">
        <v>360</v>
      </c>
      <c r="L2" s="383" t="s">
        <v>361</v>
      </c>
      <c r="M2" s="369" t="s">
        <v>362</v>
      </c>
      <c r="N2" s="385" t="s">
        <v>1164</v>
      </c>
      <c r="O2" s="385" t="s">
        <v>571</v>
      </c>
      <c r="P2" s="384" t="s">
        <v>721</v>
      </c>
      <c r="Q2" s="384" t="s">
        <v>993</v>
      </c>
      <c r="R2" s="385" t="s">
        <v>1028</v>
      </c>
      <c r="S2" s="384" t="s">
        <v>364</v>
      </c>
      <c r="T2" s="384" t="s">
        <v>365</v>
      </c>
      <c r="U2" s="384" t="s">
        <v>1032</v>
      </c>
      <c r="V2" s="384" t="s">
        <v>1033</v>
      </c>
      <c r="W2" s="383" t="s">
        <v>1034</v>
      </c>
      <c r="X2" s="383" t="s">
        <v>1035</v>
      </c>
      <c r="Y2" s="383" t="s">
        <v>1037</v>
      </c>
      <c r="Z2" s="383" t="s">
        <v>1038</v>
      </c>
      <c r="AA2" s="369" t="s">
        <v>1002</v>
      </c>
    </row>
    <row r="3" spans="1:27" ht="12.95" customHeight="1">
      <c r="A3" s="387">
        <v>1980</v>
      </c>
      <c r="B3" s="387" t="s">
        <v>781</v>
      </c>
      <c r="C3" s="387" t="s">
        <v>1041</v>
      </c>
      <c r="D3" s="388">
        <v>35000</v>
      </c>
      <c r="E3" s="387" t="s">
        <v>1083</v>
      </c>
      <c r="F3" s="387">
        <v>204</v>
      </c>
      <c r="G3" s="389">
        <v>3</v>
      </c>
      <c r="H3" s="389">
        <v>4.4000000000000004</v>
      </c>
      <c r="I3" s="389">
        <v>5.3</v>
      </c>
      <c r="J3" s="389">
        <v>6.1</v>
      </c>
      <c r="K3" s="389">
        <v>4.4000000000000004</v>
      </c>
      <c r="L3" s="387" t="s">
        <v>1084</v>
      </c>
      <c r="M3" s="387"/>
      <c r="N3" s="389">
        <f>AVERAGE(H3,I3,K3)</f>
        <v>4.7</v>
      </c>
      <c r="O3" s="390">
        <v>2161</v>
      </c>
      <c r="P3" s="391">
        <v>1720</v>
      </c>
      <c r="Q3" s="390">
        <v>1372</v>
      </c>
      <c r="R3" s="390">
        <v>2489</v>
      </c>
      <c r="S3" s="390">
        <v>1461</v>
      </c>
      <c r="T3" s="390">
        <v>1397</v>
      </c>
      <c r="U3" s="390">
        <v>185</v>
      </c>
      <c r="V3" s="390">
        <v>185</v>
      </c>
      <c r="W3" s="390">
        <v>304</v>
      </c>
      <c r="X3" s="390">
        <v>254</v>
      </c>
      <c r="Y3" s="392">
        <f>S3-('FMTC Main'!$E$22-U3)</f>
        <v>1646</v>
      </c>
      <c r="Z3" s="392">
        <f>T3-('FMTC Main'!$E$27-V3)</f>
        <v>1582</v>
      </c>
      <c r="AA3" s="393" t="str">
        <f>A3&amp;" "&amp;B3&amp;" "&amp;C3</f>
        <v xml:space="preserve">1980 Abarth 131 Abarth </v>
      </c>
    </row>
    <row r="4" spans="1:27" ht="12.95" customHeight="1">
      <c r="A4" s="394">
        <v>2010</v>
      </c>
      <c r="B4" s="394" t="s">
        <v>781</v>
      </c>
      <c r="C4" s="394" t="s">
        <v>1042</v>
      </c>
      <c r="D4" s="395">
        <v>20000</v>
      </c>
      <c r="E4" s="394" t="s">
        <v>1085</v>
      </c>
      <c r="F4" s="394">
        <v>312</v>
      </c>
      <c r="G4" s="396">
        <v>3.8</v>
      </c>
      <c r="H4" s="396">
        <v>4</v>
      </c>
      <c r="I4" s="396">
        <v>5.7</v>
      </c>
      <c r="J4" s="396">
        <v>6.1</v>
      </c>
      <c r="K4" s="396">
        <v>3.9</v>
      </c>
      <c r="L4" s="394" t="s">
        <v>1084</v>
      </c>
      <c r="M4" s="394"/>
      <c r="N4" s="389">
        <f>AVERAGE(H4,I4,K4)</f>
        <v>4.5333333333333332</v>
      </c>
      <c r="O4" s="397">
        <v>2050</v>
      </c>
      <c r="P4" s="398">
        <v>1627</v>
      </c>
      <c r="Q4" s="397">
        <v>1519</v>
      </c>
      <c r="R4" s="397">
        <v>2300</v>
      </c>
      <c r="S4" s="397">
        <v>1406</v>
      </c>
      <c r="T4" s="397">
        <v>1397</v>
      </c>
      <c r="U4" s="397">
        <v>205</v>
      </c>
      <c r="V4" s="397">
        <v>205</v>
      </c>
      <c r="W4" s="397">
        <v>284</v>
      </c>
      <c r="X4" s="397">
        <v>240</v>
      </c>
      <c r="Y4" s="399">
        <f>S4-('FMTC Main'!$E$22-U4)</f>
        <v>1611</v>
      </c>
      <c r="Z4" s="399">
        <f>T4-('FMTC Main'!$E$27-V4)</f>
        <v>1602</v>
      </c>
      <c r="AA4" s="400" t="str">
        <f>A4&amp;" "&amp;B4&amp;" "&amp;C4</f>
        <v>2010 Abarth 500 esseesse</v>
      </c>
    </row>
    <row r="5" spans="1:27" ht="12.95" customHeight="1">
      <c r="A5" s="394">
        <v>2008</v>
      </c>
      <c r="B5" s="394" t="s">
        <v>79</v>
      </c>
      <c r="C5" s="394" t="s">
        <v>80</v>
      </c>
      <c r="D5" s="395">
        <v>2000000</v>
      </c>
      <c r="E5" s="394" t="s">
        <v>1086</v>
      </c>
      <c r="F5" s="394">
        <v>954</v>
      </c>
      <c r="G5" s="396">
        <v>8.1</v>
      </c>
      <c r="H5" s="396">
        <v>9.8000000000000007</v>
      </c>
      <c r="I5" s="396">
        <v>9.6999999999999993</v>
      </c>
      <c r="J5" s="396">
        <v>8.5</v>
      </c>
      <c r="K5" s="396">
        <v>9.8000000000000007</v>
      </c>
      <c r="L5" s="394" t="s">
        <v>1075</v>
      </c>
      <c r="M5" s="394"/>
      <c r="N5" s="389">
        <f>AVERAGE(H5,I5,K5)</f>
        <v>9.7666666666666675</v>
      </c>
      <c r="O5" s="397">
        <v>1764</v>
      </c>
      <c r="P5" s="398">
        <v>1998.98</v>
      </c>
      <c r="Q5" s="397">
        <v>1016</v>
      </c>
      <c r="R5" s="397">
        <v>2743</v>
      </c>
      <c r="S5" s="397">
        <v>1661.922</v>
      </c>
      <c r="T5" s="397">
        <v>1640.078</v>
      </c>
      <c r="U5" s="397">
        <v>300</v>
      </c>
      <c r="V5" s="397">
        <v>310</v>
      </c>
      <c r="W5" s="397">
        <v>380</v>
      </c>
      <c r="X5" s="397">
        <v>380</v>
      </c>
      <c r="Y5" s="399">
        <f>S5-('FMTC Main'!$E$22-U5)</f>
        <v>1961.922</v>
      </c>
      <c r="Z5" s="399">
        <f>T5-('FMTC Main'!$E$27-V5)</f>
        <v>1950.078</v>
      </c>
      <c r="AA5" s="400" t="str">
        <f>A5&amp;" "&amp;B5&amp;" "&amp;C5</f>
        <v>2008 Acura #15 Lowe's Fernandez ARX-01b</v>
      </c>
    </row>
    <row r="6" spans="1:27" ht="12.95" customHeight="1">
      <c r="A6" s="394">
        <v>2008</v>
      </c>
      <c r="B6" s="394" t="s">
        <v>79</v>
      </c>
      <c r="C6" s="394" t="s">
        <v>81</v>
      </c>
      <c r="D6" s="395">
        <v>2000000</v>
      </c>
      <c r="E6" s="394" t="s">
        <v>1086</v>
      </c>
      <c r="F6" s="394">
        <v>954</v>
      </c>
      <c r="G6" s="396">
        <v>8.1</v>
      </c>
      <c r="H6" s="396">
        <v>9.8000000000000007</v>
      </c>
      <c r="I6" s="396">
        <v>9.6999999999999993</v>
      </c>
      <c r="J6" s="396">
        <v>8.5</v>
      </c>
      <c r="K6" s="396">
        <v>9.8000000000000007</v>
      </c>
      <c r="L6" s="394" t="s">
        <v>1075</v>
      </c>
      <c r="M6" s="394"/>
      <c r="N6" s="389">
        <f>AVERAGE(H6,I6,K6)</f>
        <v>9.7666666666666675</v>
      </c>
      <c r="O6" s="397">
        <v>1764</v>
      </c>
      <c r="P6" s="398">
        <v>1998.98</v>
      </c>
      <c r="Q6" s="397">
        <v>1016</v>
      </c>
      <c r="R6" s="397">
        <v>2743</v>
      </c>
      <c r="S6" s="397">
        <v>1661.922</v>
      </c>
      <c r="T6" s="397">
        <v>1640.078</v>
      </c>
      <c r="U6" s="397">
        <v>300</v>
      </c>
      <c r="V6" s="397">
        <v>310</v>
      </c>
      <c r="W6" s="397">
        <v>380</v>
      </c>
      <c r="X6" s="397">
        <v>380</v>
      </c>
      <c r="Y6" s="399">
        <f>S6-('FMTC Main'!$E$22-U6)</f>
        <v>1961.922</v>
      </c>
      <c r="Z6" s="399">
        <f>T6-('FMTC Main'!$E$27-V6)</f>
        <v>1950.078</v>
      </c>
      <c r="AA6" s="400" t="str">
        <f>A6&amp;" "&amp;B6&amp;" "&amp;C6</f>
        <v>2008 Acura #26 Andretti-Green Racing ARX-01b</v>
      </c>
    </row>
    <row r="7" spans="1:27" ht="12.95" customHeight="1">
      <c r="A7" s="394">
        <v>2008</v>
      </c>
      <c r="B7" s="394" t="s">
        <v>79</v>
      </c>
      <c r="C7" s="394" t="s">
        <v>782</v>
      </c>
      <c r="D7" s="395">
        <v>2000000</v>
      </c>
      <c r="E7" s="394" t="s">
        <v>1086</v>
      </c>
      <c r="F7" s="394">
        <v>954</v>
      </c>
      <c r="G7" s="396">
        <v>8.1</v>
      </c>
      <c r="H7" s="396">
        <v>9.8000000000000007</v>
      </c>
      <c r="I7" s="396">
        <v>9.6999999999999993</v>
      </c>
      <c r="J7" s="396">
        <v>8.5</v>
      </c>
      <c r="K7" s="396">
        <v>9.8000000000000007</v>
      </c>
      <c r="L7" s="394" t="s">
        <v>1075</v>
      </c>
      <c r="M7" s="394"/>
      <c r="N7" s="389">
        <f>AVERAGE(H7,I7,K7)</f>
        <v>9.7666666666666675</v>
      </c>
      <c r="O7" s="397">
        <v>1984</v>
      </c>
      <c r="P7" s="398">
        <v>1998.98</v>
      </c>
      <c r="Q7" s="397">
        <v>1016</v>
      </c>
      <c r="R7" s="397">
        <v>2743</v>
      </c>
      <c r="S7" s="397">
        <v>1661.922</v>
      </c>
      <c r="T7" s="397">
        <v>1640.078</v>
      </c>
      <c r="U7" s="397">
        <v>370</v>
      </c>
      <c r="V7" s="397">
        <v>370</v>
      </c>
      <c r="W7" s="397">
        <v>380</v>
      </c>
      <c r="X7" s="397">
        <v>380</v>
      </c>
      <c r="Y7" s="399">
        <f>S7-('FMTC Main'!$E$22-U7)</f>
        <v>2031.922</v>
      </c>
      <c r="Z7" s="399">
        <f>T7-('FMTC Main'!$E$27-V7)</f>
        <v>2010.078</v>
      </c>
      <c r="AA7" s="400" t="str">
        <f>A7&amp;" "&amp;B7&amp;" "&amp;C7</f>
        <v>2008 Acura #66 de Ferran Motorsports ARX-01b</v>
      </c>
    </row>
    <row r="8" spans="1:27" ht="12.95" customHeight="1">
      <c r="A8" s="394">
        <v>2009</v>
      </c>
      <c r="B8" s="394" t="s">
        <v>79</v>
      </c>
      <c r="C8" s="394" t="s">
        <v>783</v>
      </c>
      <c r="D8" s="395">
        <v>2000000</v>
      </c>
      <c r="E8" s="394" t="s">
        <v>1086</v>
      </c>
      <c r="F8" s="394">
        <v>990</v>
      </c>
      <c r="G8" s="396">
        <v>9.1999999999999993</v>
      </c>
      <c r="H8" s="396">
        <v>10</v>
      </c>
      <c r="I8" s="396">
        <v>9.5</v>
      </c>
      <c r="J8" s="396">
        <v>8.1999999999999993</v>
      </c>
      <c r="K8" s="396">
        <v>10</v>
      </c>
      <c r="L8" s="394" t="s">
        <v>1075</v>
      </c>
      <c r="M8" s="394"/>
      <c r="N8" s="389">
        <f>AVERAGE(H8,I8,K8)</f>
        <v>9.8333333333333339</v>
      </c>
      <c r="O8" s="397">
        <v>1764</v>
      </c>
      <c r="P8" s="398">
        <v>1998.98</v>
      </c>
      <c r="Q8" s="397">
        <v>1031.24</v>
      </c>
      <c r="R8" s="397">
        <v>2900</v>
      </c>
      <c r="S8" s="397">
        <v>1699</v>
      </c>
      <c r="T8" s="397">
        <v>1689</v>
      </c>
      <c r="U8" s="397">
        <v>300</v>
      </c>
      <c r="V8" s="397">
        <v>310</v>
      </c>
      <c r="W8" s="397">
        <v>380</v>
      </c>
      <c r="X8" s="397">
        <v>380</v>
      </c>
      <c r="Y8" s="399">
        <f>S8-('FMTC Main'!$E$22-U8)</f>
        <v>1999</v>
      </c>
      <c r="Z8" s="399">
        <f>T8-('FMTC Main'!$E$27-V8)</f>
        <v>1999</v>
      </c>
      <c r="AA8" s="400" t="str">
        <f>A8&amp;" "&amp;B8&amp;" "&amp;C8</f>
        <v>2009 Acura #66 de Ferran Motorsports ARX-02a</v>
      </c>
    </row>
    <row r="9" spans="1:27" ht="12.95" customHeight="1">
      <c r="A9" s="394">
        <v>2009</v>
      </c>
      <c r="B9" s="394" t="s">
        <v>79</v>
      </c>
      <c r="C9" s="394" t="s">
        <v>784</v>
      </c>
      <c r="D9" s="395">
        <v>2500000</v>
      </c>
      <c r="E9" s="394" t="s">
        <v>1086</v>
      </c>
      <c r="F9" s="394">
        <v>989</v>
      </c>
      <c r="G9" s="396">
        <v>9.1999999999999993</v>
      </c>
      <c r="H9" s="396">
        <v>10</v>
      </c>
      <c r="I9" s="396">
        <v>9.5</v>
      </c>
      <c r="J9" s="396">
        <v>8.1999999999999993</v>
      </c>
      <c r="K9" s="396">
        <v>10</v>
      </c>
      <c r="L9" s="394" t="s">
        <v>1075</v>
      </c>
      <c r="M9" s="394"/>
      <c r="N9" s="389">
        <f>AVERAGE(H9,I9,K9)</f>
        <v>9.8333333333333339</v>
      </c>
      <c r="O9" s="397">
        <v>1984</v>
      </c>
      <c r="P9" s="398">
        <v>1998.98</v>
      </c>
      <c r="Q9" s="397">
        <v>1031.24</v>
      </c>
      <c r="R9" s="397">
        <v>2900</v>
      </c>
      <c r="S9" s="397">
        <v>1699</v>
      </c>
      <c r="T9" s="397">
        <v>1689</v>
      </c>
      <c r="U9" s="397">
        <v>370</v>
      </c>
      <c r="V9" s="397">
        <v>370</v>
      </c>
      <c r="W9" s="397">
        <v>380</v>
      </c>
      <c r="X9" s="397">
        <v>380</v>
      </c>
      <c r="Y9" s="399">
        <f>S9-('FMTC Main'!$E$22-U9)</f>
        <v>2069</v>
      </c>
      <c r="Z9" s="399">
        <f>T9-('FMTC Main'!$E$27-V9)</f>
        <v>2059</v>
      </c>
      <c r="AA9" s="400" t="str">
        <f>A9&amp;" "&amp;B9&amp;" "&amp;C9</f>
        <v>2009 Acura #66 de Ferran Motorsports Jim Hall ARX-02a</v>
      </c>
    </row>
    <row r="10" spans="1:27" ht="12.95" customHeight="1">
      <c r="A10" s="394">
        <v>2001</v>
      </c>
      <c r="B10" s="394" t="s">
        <v>79</v>
      </c>
      <c r="C10" s="394" t="s">
        <v>170</v>
      </c>
      <c r="D10" s="395">
        <v>12000</v>
      </c>
      <c r="E10" s="394" t="s">
        <v>1087</v>
      </c>
      <c r="F10" s="394">
        <v>388</v>
      </c>
      <c r="G10" s="396">
        <v>5</v>
      </c>
      <c r="H10" s="396">
        <v>4.7</v>
      </c>
      <c r="I10" s="396">
        <v>6</v>
      </c>
      <c r="J10" s="396">
        <v>6.3</v>
      </c>
      <c r="K10" s="396">
        <v>4.5999999999999996</v>
      </c>
      <c r="L10" s="394" t="s">
        <v>1075</v>
      </c>
      <c r="M10" s="394"/>
      <c r="N10" s="389">
        <f>AVERAGE(H10,I10,K10)</f>
        <v>5.0999999999999996</v>
      </c>
      <c r="O10" s="397">
        <v>2639</v>
      </c>
      <c r="P10" s="398">
        <v>1710</v>
      </c>
      <c r="Q10" s="397">
        <v>1275</v>
      </c>
      <c r="R10" s="397">
        <v>2570</v>
      </c>
      <c r="S10" s="397">
        <v>1480</v>
      </c>
      <c r="T10" s="397">
        <v>1475</v>
      </c>
      <c r="U10" s="397">
        <v>195</v>
      </c>
      <c r="V10" s="397">
        <v>195</v>
      </c>
      <c r="W10" s="397">
        <v>282</v>
      </c>
      <c r="X10" s="397">
        <v>260</v>
      </c>
      <c r="Y10" s="399">
        <f>S10-('FMTC Main'!$E$22-U10)</f>
        <v>1675</v>
      </c>
      <c r="Z10" s="399">
        <f>T10-('FMTC Main'!$E$27-V10)</f>
        <v>1670</v>
      </c>
      <c r="AA10" s="400" t="str">
        <f>A10&amp;" "&amp;B10&amp;" "&amp;C10</f>
        <v>2001 Acura Integra Type-R</v>
      </c>
    </row>
    <row r="11" spans="1:27" ht="12.95" customHeight="1">
      <c r="A11" s="394">
        <v>1997</v>
      </c>
      <c r="B11" s="394" t="s">
        <v>79</v>
      </c>
      <c r="C11" s="394" t="s">
        <v>82</v>
      </c>
      <c r="D11" s="395">
        <v>38000</v>
      </c>
      <c r="E11" s="394" t="s">
        <v>1088</v>
      </c>
      <c r="F11" s="394">
        <v>471</v>
      </c>
      <c r="G11" s="396">
        <v>6.6</v>
      </c>
      <c r="H11" s="396">
        <v>5.2</v>
      </c>
      <c r="I11" s="396">
        <v>7</v>
      </c>
      <c r="J11" s="396">
        <v>7.2</v>
      </c>
      <c r="K11" s="396">
        <v>5.0999999999999996</v>
      </c>
      <c r="L11" s="394" t="s">
        <v>1075</v>
      </c>
      <c r="M11" s="394"/>
      <c r="N11" s="389">
        <f>AVERAGE(H11,I11,K11)</f>
        <v>5.7666666666666657</v>
      </c>
      <c r="O11" s="397">
        <v>2998</v>
      </c>
      <c r="P11" s="398">
        <v>1811.02</v>
      </c>
      <c r="Q11" s="397">
        <v>1170</v>
      </c>
      <c r="R11" s="397">
        <v>2529</v>
      </c>
      <c r="S11" s="397">
        <v>1508</v>
      </c>
      <c r="T11" s="397">
        <v>1529.08</v>
      </c>
      <c r="U11" s="397">
        <v>215</v>
      </c>
      <c r="V11" s="397">
        <v>245</v>
      </c>
      <c r="W11" s="397">
        <v>297</v>
      </c>
      <c r="X11" s="397">
        <v>302</v>
      </c>
      <c r="Y11" s="399">
        <f>S11-('FMTC Main'!$E$22-U11)</f>
        <v>1723</v>
      </c>
      <c r="Z11" s="399">
        <f>T11-('FMTC Main'!$E$27-V11)</f>
        <v>1774.08</v>
      </c>
      <c r="AA11" s="400" t="str">
        <f>A11&amp;" "&amp;B11&amp;" "&amp;C11</f>
        <v>1997 Acura NSX</v>
      </c>
    </row>
    <row r="12" spans="1:27" ht="12.95" customHeight="1">
      <c r="A12" s="394">
        <v>2005</v>
      </c>
      <c r="B12" s="394" t="s">
        <v>79</v>
      </c>
      <c r="C12" s="394" t="s">
        <v>82</v>
      </c>
      <c r="D12" s="395">
        <v>64000</v>
      </c>
      <c r="E12" s="394" t="s">
        <v>1088</v>
      </c>
      <c r="F12" s="394">
        <v>476</v>
      </c>
      <c r="G12" s="396">
        <v>7</v>
      </c>
      <c r="H12" s="396">
        <v>5.2</v>
      </c>
      <c r="I12" s="396">
        <v>7</v>
      </c>
      <c r="J12" s="396">
        <v>7.1</v>
      </c>
      <c r="K12" s="396">
        <v>5.0999999999999996</v>
      </c>
      <c r="L12" s="394" t="s">
        <v>1075</v>
      </c>
      <c r="M12" s="394"/>
      <c r="N12" s="389">
        <f>AVERAGE(H12,I12,K12)</f>
        <v>5.7666666666666657</v>
      </c>
      <c r="O12" s="397">
        <v>3100</v>
      </c>
      <c r="P12" s="398">
        <v>1803</v>
      </c>
      <c r="Q12" s="397">
        <v>1168</v>
      </c>
      <c r="R12" s="397">
        <v>2540</v>
      </c>
      <c r="S12" s="397">
        <v>1498</v>
      </c>
      <c r="T12" s="397">
        <v>1524</v>
      </c>
      <c r="U12" s="397">
        <v>215</v>
      </c>
      <c r="V12" s="397">
        <v>255</v>
      </c>
      <c r="W12" s="397">
        <v>304</v>
      </c>
      <c r="X12" s="397">
        <v>304</v>
      </c>
      <c r="Y12" s="399">
        <f>S12-('FMTC Main'!$E$22-U12)</f>
        <v>1713</v>
      </c>
      <c r="Z12" s="399">
        <f>T12-('FMTC Main'!$E$27-V12)</f>
        <v>1779</v>
      </c>
      <c r="AA12" s="400" t="str">
        <f>A12&amp;" "&amp;B12&amp;" "&amp;C12</f>
        <v>2005 Acura NSX</v>
      </c>
    </row>
    <row r="13" spans="1:27" ht="12.95" customHeight="1">
      <c r="A13" s="394">
        <v>2002</v>
      </c>
      <c r="B13" s="394" t="s">
        <v>79</v>
      </c>
      <c r="C13" s="394" t="s">
        <v>83</v>
      </c>
      <c r="D13" s="395">
        <v>10000</v>
      </c>
      <c r="E13" s="394" t="s">
        <v>1085</v>
      </c>
      <c r="F13" s="394">
        <v>342</v>
      </c>
      <c r="G13" s="396">
        <v>5.0999999999999996</v>
      </c>
      <c r="H13" s="396">
        <v>4.4000000000000004</v>
      </c>
      <c r="I13" s="396">
        <v>5.9</v>
      </c>
      <c r="J13" s="396">
        <v>6.1</v>
      </c>
      <c r="K13" s="396">
        <v>4.3</v>
      </c>
      <c r="L13" s="394" t="s">
        <v>1075</v>
      </c>
      <c r="M13" s="394"/>
      <c r="N13" s="389">
        <f>AVERAGE(H13,I13,K13)</f>
        <v>4.8666666666666671</v>
      </c>
      <c r="O13" s="397">
        <v>2820</v>
      </c>
      <c r="P13" s="398">
        <v>1727</v>
      </c>
      <c r="Q13" s="397">
        <v>1397</v>
      </c>
      <c r="R13" s="397">
        <v>2565</v>
      </c>
      <c r="S13" s="397">
        <v>1498</v>
      </c>
      <c r="T13" s="397">
        <v>1498</v>
      </c>
      <c r="U13" s="397">
        <v>205</v>
      </c>
      <c r="V13" s="397">
        <v>205</v>
      </c>
      <c r="W13" s="397">
        <v>304</v>
      </c>
      <c r="X13" s="397">
        <v>254</v>
      </c>
      <c r="Y13" s="399">
        <f>S13-('FMTC Main'!$E$22-U13)</f>
        <v>1703</v>
      </c>
      <c r="Z13" s="399">
        <f>T13-('FMTC Main'!$E$27-V13)</f>
        <v>1703</v>
      </c>
      <c r="AA13" s="400" t="str">
        <f>A13&amp;" "&amp;B13&amp;" "&amp;C13</f>
        <v>2002 Acura RSX Type-S</v>
      </c>
    </row>
    <row r="14" spans="1:27" ht="12.95" customHeight="1">
      <c r="A14" s="394">
        <v>2010</v>
      </c>
      <c r="B14" s="394" t="s">
        <v>79</v>
      </c>
      <c r="C14" s="394" t="s">
        <v>677</v>
      </c>
      <c r="D14" s="395">
        <v>21000</v>
      </c>
      <c r="E14" s="394" t="s">
        <v>1087</v>
      </c>
      <c r="F14" s="394">
        <v>375</v>
      </c>
      <c r="G14" s="396">
        <v>6.8</v>
      </c>
      <c r="H14" s="396">
        <v>4.8</v>
      </c>
      <c r="I14" s="396">
        <v>5.7</v>
      </c>
      <c r="J14" s="396">
        <v>5.6</v>
      </c>
      <c r="K14" s="396">
        <v>4.5</v>
      </c>
      <c r="L14" s="394" t="s">
        <v>1075</v>
      </c>
      <c r="M14" s="394"/>
      <c r="N14" s="389">
        <f>AVERAGE(H14,I14,K14)</f>
        <v>5</v>
      </c>
      <c r="O14" s="398">
        <v>3664</v>
      </c>
      <c r="P14" s="398">
        <v>1828</v>
      </c>
      <c r="Q14" s="397">
        <v>1447</v>
      </c>
      <c r="R14" s="398">
        <v>2692</v>
      </c>
      <c r="S14" s="397">
        <v>1574</v>
      </c>
      <c r="T14" s="397">
        <v>1574</v>
      </c>
      <c r="U14" s="397">
        <v>235</v>
      </c>
      <c r="V14" s="397">
        <v>235</v>
      </c>
      <c r="W14" s="397">
        <v>304</v>
      </c>
      <c r="X14" s="397">
        <v>279</v>
      </c>
      <c r="Y14" s="399">
        <f>S14-('FMTC Main'!$E$22-U14)</f>
        <v>1809</v>
      </c>
      <c r="Z14" s="399">
        <f>T14-('FMTC Main'!$E$27-V14)</f>
        <v>1809</v>
      </c>
      <c r="AA14" s="400" t="str">
        <f>A14&amp;" "&amp;B14&amp;" "&amp;C14</f>
        <v>2010 Acura TSX V6</v>
      </c>
    </row>
    <row r="15" spans="1:27" ht="12.95" customHeight="1">
      <c r="A15" s="394">
        <v>2554</v>
      </c>
      <c r="B15" s="394" t="s">
        <v>785</v>
      </c>
      <c r="C15" s="394" t="s">
        <v>786</v>
      </c>
      <c r="D15" s="395"/>
      <c r="E15" s="394"/>
      <c r="F15" s="394"/>
      <c r="G15" s="396"/>
      <c r="H15" s="396"/>
      <c r="I15" s="396"/>
      <c r="J15" s="396"/>
      <c r="K15" s="396"/>
      <c r="L15" s="394"/>
      <c r="M15" s="394" t="s">
        <v>1089</v>
      </c>
      <c r="N15" s="389" t="e">
        <f>AVERAGE(H15,I15,K15)</f>
        <v>#DIV/0!</v>
      </c>
      <c r="O15" s="397">
        <v>6500</v>
      </c>
      <c r="P15" s="398">
        <v>3048</v>
      </c>
      <c r="Q15" s="397">
        <v>2987</v>
      </c>
      <c r="R15" s="401"/>
      <c r="S15" s="401"/>
      <c r="T15" s="401"/>
      <c r="U15" s="401"/>
      <c r="V15" s="401"/>
      <c r="W15" s="401"/>
      <c r="X15" s="401"/>
      <c r="Y15" s="399">
        <f>S15-('FMTC Main'!$E$22-U15)</f>
        <v>0</v>
      </c>
      <c r="Z15" s="399">
        <f>T15-('FMTC Main'!$E$27-V15)</f>
        <v>0</v>
      </c>
      <c r="AA15" s="400" t="str">
        <f>A15&amp;" "&amp;B15&amp;" "&amp;C15</f>
        <v>2554 Akslon M12 FAV Warthog</v>
      </c>
    </row>
    <row r="16" spans="1:27" ht="12.95" customHeight="1">
      <c r="A16" s="394">
        <v>2007</v>
      </c>
      <c r="B16" s="394" t="s">
        <v>84</v>
      </c>
      <c r="C16" s="394" t="s">
        <v>85</v>
      </c>
      <c r="D16" s="395">
        <v>280000</v>
      </c>
      <c r="E16" s="394" t="s">
        <v>349</v>
      </c>
      <c r="F16" s="394">
        <v>562</v>
      </c>
      <c r="G16" s="396">
        <v>7.9</v>
      </c>
      <c r="H16" s="396">
        <v>5.4</v>
      </c>
      <c r="I16" s="396">
        <v>7.8</v>
      </c>
      <c r="J16" s="396">
        <v>7.6</v>
      </c>
      <c r="K16" s="396">
        <v>5.3</v>
      </c>
      <c r="L16" s="394" t="s">
        <v>1084</v>
      </c>
      <c r="M16" s="394"/>
      <c r="N16" s="389">
        <f>AVERAGE(H16,I16,K16)</f>
        <v>6.166666666666667</v>
      </c>
      <c r="O16" s="397">
        <v>3495</v>
      </c>
      <c r="P16" s="398">
        <v>1905</v>
      </c>
      <c r="Q16" s="397">
        <v>1244</v>
      </c>
      <c r="R16" s="397">
        <v>2590</v>
      </c>
      <c r="S16" s="397">
        <v>1600</v>
      </c>
      <c r="T16" s="397">
        <v>1574</v>
      </c>
      <c r="U16" s="397">
        <v>245</v>
      </c>
      <c r="V16" s="397">
        <v>285</v>
      </c>
      <c r="W16" s="397">
        <v>381</v>
      </c>
      <c r="X16" s="397">
        <v>330</v>
      </c>
      <c r="Y16" s="399">
        <f>S16-('FMTC Main'!$E$22-U16)</f>
        <v>1845</v>
      </c>
      <c r="Z16" s="399">
        <f>T16-('FMTC Main'!$E$27-V16)</f>
        <v>1859</v>
      </c>
      <c r="AA16" s="400" t="str">
        <f>A16&amp;" "&amp;B16&amp;" "&amp;C16</f>
        <v>2007 Alfa Romeo 8C Competizione</v>
      </c>
    </row>
    <row r="17" spans="1:27" ht="12.95" customHeight="1">
      <c r="A17" s="394">
        <v>2009</v>
      </c>
      <c r="B17" s="394" t="s">
        <v>84</v>
      </c>
      <c r="C17" s="394" t="s">
        <v>86</v>
      </c>
      <c r="D17" s="395">
        <v>320000</v>
      </c>
      <c r="E17" s="394" t="s">
        <v>1085</v>
      </c>
      <c r="F17" s="394">
        <v>347</v>
      </c>
      <c r="G17" s="396">
        <v>4.7</v>
      </c>
      <c r="H17" s="396">
        <v>4.7</v>
      </c>
      <c r="I17" s="396">
        <v>5.3</v>
      </c>
      <c r="J17" s="396">
        <v>5.8</v>
      </c>
      <c r="K17" s="396">
        <v>4.5999999999999996</v>
      </c>
      <c r="L17" s="394" t="s">
        <v>1084</v>
      </c>
      <c r="M17" s="394"/>
      <c r="N17" s="389">
        <f>AVERAGE(H17,I17,K17)</f>
        <v>4.8666666666666663</v>
      </c>
      <c r="O17" s="397">
        <v>3594</v>
      </c>
      <c r="P17" s="398">
        <v>1830</v>
      </c>
      <c r="Q17" s="397">
        <v>1371.6</v>
      </c>
      <c r="R17" s="397">
        <v>2525</v>
      </c>
      <c r="S17" s="397">
        <v>1579</v>
      </c>
      <c r="T17" s="397">
        <v>1559</v>
      </c>
      <c r="U17" s="397">
        <v>235</v>
      </c>
      <c r="V17" s="397">
        <v>235</v>
      </c>
      <c r="W17" s="397">
        <v>330</v>
      </c>
      <c r="X17" s="397">
        <v>292</v>
      </c>
      <c r="Y17" s="399">
        <f>S17-('FMTC Main'!$E$22-U17)</f>
        <v>1814</v>
      </c>
      <c r="Z17" s="399">
        <f>T17-('FMTC Main'!$E$27-V17)</f>
        <v>1794</v>
      </c>
      <c r="AA17" s="400" t="str">
        <f>A17&amp;" "&amp;B17&amp;" "&amp;C17</f>
        <v>2009 Alfa Romeo Brera Italia Independent</v>
      </c>
    </row>
    <row r="18" spans="1:27" ht="12.95" customHeight="1">
      <c r="A18" s="394">
        <v>1965</v>
      </c>
      <c r="B18" s="394" t="s">
        <v>84</v>
      </c>
      <c r="C18" s="394" t="s">
        <v>342</v>
      </c>
      <c r="D18" s="395">
        <v>60000</v>
      </c>
      <c r="E18" s="394" t="s">
        <v>1083</v>
      </c>
      <c r="F18" s="394">
        <v>202</v>
      </c>
      <c r="G18" s="396">
        <v>3</v>
      </c>
      <c r="H18" s="396">
        <v>3.7</v>
      </c>
      <c r="I18" s="396">
        <v>6.1</v>
      </c>
      <c r="J18" s="396">
        <v>6.4</v>
      </c>
      <c r="K18" s="396">
        <v>3.7</v>
      </c>
      <c r="L18" s="394" t="s">
        <v>1084</v>
      </c>
      <c r="M18" s="394"/>
      <c r="N18" s="389">
        <f>AVERAGE(H18,I18,K18)</f>
        <v>4.5</v>
      </c>
      <c r="O18" s="397">
        <v>1676</v>
      </c>
      <c r="P18" s="398">
        <v>1580</v>
      </c>
      <c r="Q18" s="397">
        <v>1310</v>
      </c>
      <c r="R18" s="397">
        <v>2350</v>
      </c>
      <c r="S18" s="397">
        <v>1320</v>
      </c>
      <c r="T18" s="397">
        <v>1270</v>
      </c>
      <c r="U18" s="397">
        <v>165</v>
      </c>
      <c r="V18" s="397">
        <v>165</v>
      </c>
      <c r="W18" s="397">
        <v>267</v>
      </c>
      <c r="X18" s="397">
        <v>267</v>
      </c>
      <c r="Y18" s="399">
        <f>S18-('FMTC Main'!$E$22-U18)</f>
        <v>1485</v>
      </c>
      <c r="Z18" s="399">
        <f>T18-('FMTC Main'!$E$27-V18)</f>
        <v>1435</v>
      </c>
      <c r="AA18" s="400" t="str">
        <f>A18&amp;" "&amp;B18&amp;" "&amp;C18</f>
        <v>1965 Alfa Romeo Giulia Sprint GTA Stradale</v>
      </c>
    </row>
    <row r="19" spans="1:27" ht="12.95" customHeight="1">
      <c r="A19" s="394">
        <v>2011</v>
      </c>
      <c r="B19" s="394" t="s">
        <v>84</v>
      </c>
      <c r="C19" s="394" t="s">
        <v>788</v>
      </c>
      <c r="D19" s="395"/>
      <c r="E19" s="394" t="s">
        <v>1087</v>
      </c>
      <c r="F19" s="394">
        <v>409</v>
      </c>
      <c r="G19" s="396">
        <v>5.0999999999999996</v>
      </c>
      <c r="H19" s="396">
        <v>4.8</v>
      </c>
      <c r="I19" s="396">
        <v>6.1</v>
      </c>
      <c r="J19" s="396">
        <v>6.2</v>
      </c>
      <c r="K19" s="396">
        <v>4.7</v>
      </c>
      <c r="L19" s="394" t="s">
        <v>1084</v>
      </c>
      <c r="M19" s="394" t="s">
        <v>1090</v>
      </c>
      <c r="N19" s="389">
        <f>AVERAGE(H19,I19,K19)</f>
        <v>5.1999999999999993</v>
      </c>
      <c r="O19" s="397">
        <v>2910</v>
      </c>
      <c r="P19" s="398">
        <v>1798.32</v>
      </c>
      <c r="Q19" s="397">
        <v>1465</v>
      </c>
      <c r="R19" s="397">
        <v>2634</v>
      </c>
      <c r="S19" s="397">
        <v>1554.48</v>
      </c>
      <c r="T19" s="397">
        <v>1554.48</v>
      </c>
      <c r="U19" s="397">
        <v>225</v>
      </c>
      <c r="V19" s="397">
        <v>225</v>
      </c>
      <c r="W19" s="397">
        <v>330</v>
      </c>
      <c r="X19" s="397">
        <v>278</v>
      </c>
      <c r="Y19" s="399">
        <f>S19-('FMTC Main'!$E$22-U19)</f>
        <v>1779.48</v>
      </c>
      <c r="Z19" s="399">
        <f>T19-('FMTC Main'!$E$27-V19)</f>
        <v>1779.48</v>
      </c>
      <c r="AA19" s="400" t="str">
        <f>A19&amp;" "&amp;B19&amp;" "&amp;C19</f>
        <v>2011 Alfa Romeo Giulietta Quadrifoglio Verde</v>
      </c>
    </row>
    <row r="20" spans="1:27" ht="12.95" customHeight="1">
      <c r="A20" s="394">
        <v>2008</v>
      </c>
      <c r="B20" s="394" t="s">
        <v>84</v>
      </c>
      <c r="C20" s="394" t="s">
        <v>787</v>
      </c>
      <c r="D20" s="395">
        <v>20000</v>
      </c>
      <c r="E20" s="394" t="s">
        <v>1085</v>
      </c>
      <c r="F20" s="394">
        <v>292</v>
      </c>
      <c r="G20" s="396">
        <v>3.8</v>
      </c>
      <c r="H20" s="396">
        <v>4.3</v>
      </c>
      <c r="I20" s="396">
        <v>5.3</v>
      </c>
      <c r="J20" s="396">
        <v>5.7</v>
      </c>
      <c r="K20" s="396">
        <v>4.0999999999999996</v>
      </c>
      <c r="L20" s="394" t="s">
        <v>1084</v>
      </c>
      <c r="M20" s="394"/>
      <c r="N20" s="389">
        <f>AVERAGE(H20,I20,K20)</f>
        <v>4.5666666666666664</v>
      </c>
      <c r="O20" s="397">
        <v>2524</v>
      </c>
      <c r="P20" s="398">
        <v>1727</v>
      </c>
      <c r="Q20" s="397">
        <v>1447</v>
      </c>
      <c r="R20" s="397">
        <v>2514</v>
      </c>
      <c r="S20" s="397">
        <v>1473</v>
      </c>
      <c r="T20" s="397">
        <v>1473</v>
      </c>
      <c r="U20" s="397">
        <v>215</v>
      </c>
      <c r="V20" s="397">
        <v>215</v>
      </c>
      <c r="W20" s="397">
        <v>279</v>
      </c>
      <c r="X20" s="397">
        <v>254</v>
      </c>
      <c r="Y20" s="399">
        <f>S20-('FMTC Main'!$E$22-U20)</f>
        <v>1688</v>
      </c>
      <c r="Z20" s="399">
        <f>T20-('FMTC Main'!$E$27-V20)</f>
        <v>1688</v>
      </c>
      <c r="AA20" s="400" t="str">
        <f>A20&amp;" "&amp;B20&amp;" "&amp;C20</f>
        <v>2008 Alfa Romeo MiTo</v>
      </c>
    </row>
    <row r="21" spans="1:27" ht="12.95" customHeight="1">
      <c r="A21" s="402">
        <v>1970</v>
      </c>
      <c r="B21" s="402" t="s">
        <v>84</v>
      </c>
      <c r="C21" s="402" t="s">
        <v>1163</v>
      </c>
      <c r="D21" s="403">
        <v>27000</v>
      </c>
      <c r="E21" s="402" t="s">
        <v>1083</v>
      </c>
      <c r="F21" s="402">
        <v>229</v>
      </c>
      <c r="G21" s="404">
        <v>4</v>
      </c>
      <c r="H21" s="404">
        <v>4</v>
      </c>
      <c r="I21" s="404">
        <v>5.4</v>
      </c>
      <c r="J21" s="404">
        <v>6</v>
      </c>
      <c r="K21" s="404">
        <v>4</v>
      </c>
      <c r="L21" s="402" t="s">
        <v>1084</v>
      </c>
      <c r="M21" s="402" t="s">
        <v>1154</v>
      </c>
      <c r="N21" s="389">
        <f>AVERAGE(H21,I21,K21)</f>
        <v>4.4666666666666668</v>
      </c>
      <c r="O21" s="405">
        <v>2810</v>
      </c>
      <c r="P21" s="405">
        <v>1676</v>
      </c>
      <c r="Q21" s="405">
        <v>1207</v>
      </c>
      <c r="R21" s="405">
        <v>2527</v>
      </c>
      <c r="S21" s="405">
        <v>1372</v>
      </c>
      <c r="T21" s="405">
        <v>1341</v>
      </c>
      <c r="U21" s="405">
        <v>195</v>
      </c>
      <c r="V21" s="405">
        <v>195</v>
      </c>
      <c r="W21" s="405">
        <v>272</v>
      </c>
      <c r="X21" s="405">
        <v>284</v>
      </c>
      <c r="Y21" s="406">
        <f>S21-('FMTC Main'!$E$22-U21)</f>
        <v>1567</v>
      </c>
      <c r="Z21" s="406">
        <f>T21-('FMTC Main'!$E$27-V21)</f>
        <v>1536</v>
      </c>
      <c r="AA21" s="407" t="str">
        <f>A21&amp;" "&amp;B21&amp;" "&amp;C21</f>
        <v>1970 Alfa Romeo Montreal</v>
      </c>
    </row>
    <row r="22" spans="1:27" ht="12.95" customHeight="1">
      <c r="A22" s="402">
        <v>1986</v>
      </c>
      <c r="B22" s="402" t="s">
        <v>1149</v>
      </c>
      <c r="C22" s="402" t="s">
        <v>1150</v>
      </c>
      <c r="D22" s="403">
        <v>5000</v>
      </c>
      <c r="E22" s="402" t="s">
        <v>1099</v>
      </c>
      <c r="F22" s="402">
        <v>145</v>
      </c>
      <c r="G22" s="404">
        <v>3</v>
      </c>
      <c r="H22" s="404">
        <v>2</v>
      </c>
      <c r="I22" s="404">
        <v>4</v>
      </c>
      <c r="J22" s="404">
        <v>4</v>
      </c>
      <c r="K22" s="404">
        <v>4</v>
      </c>
      <c r="L22" s="402" t="s">
        <v>1084</v>
      </c>
      <c r="M22" s="402" t="s">
        <v>1141</v>
      </c>
      <c r="N22" s="389">
        <f>AVERAGE(H22,I22,K22)</f>
        <v>3.3333333333333335</v>
      </c>
      <c r="O22" s="405">
        <v>2549</v>
      </c>
      <c r="P22" s="405">
        <v>1630</v>
      </c>
      <c r="Q22" s="405">
        <v>1290</v>
      </c>
      <c r="R22" s="405">
        <v>2250</v>
      </c>
      <c r="S22" s="405">
        <v>1330</v>
      </c>
      <c r="T22" s="405">
        <v>1280</v>
      </c>
      <c r="U22" s="405">
        <v>195</v>
      </c>
      <c r="V22" s="405">
        <v>195</v>
      </c>
      <c r="W22" s="405">
        <v>267</v>
      </c>
      <c r="X22" s="405">
        <v>267</v>
      </c>
      <c r="Y22" s="406">
        <f>S22-('FMTC Main'!$E$22-U22)</f>
        <v>1525</v>
      </c>
      <c r="Z22" s="406">
        <f>T22-('FMTC Main'!$E$27-V22)</f>
        <v>1475</v>
      </c>
      <c r="AA22" s="407" t="str">
        <f>A22&amp;" "&amp;B22&amp;" "&amp;C22</f>
        <v>1986 Alfa Romero Spider Quadrifoglio Verde</v>
      </c>
    </row>
    <row r="23" spans="1:27" ht="12.95" customHeight="1">
      <c r="A23" s="394">
        <v>1971</v>
      </c>
      <c r="B23" s="394" t="s">
        <v>678</v>
      </c>
      <c r="C23" s="394" t="s">
        <v>1043</v>
      </c>
      <c r="D23" s="395">
        <v>20000</v>
      </c>
      <c r="E23" s="394" t="s">
        <v>1085</v>
      </c>
      <c r="F23" s="394">
        <v>299</v>
      </c>
      <c r="G23" s="396">
        <v>3</v>
      </c>
      <c r="H23" s="396">
        <v>3.8</v>
      </c>
      <c r="I23" s="396">
        <v>7</v>
      </c>
      <c r="J23" s="396">
        <v>6.4</v>
      </c>
      <c r="K23" s="396">
        <v>3.8</v>
      </c>
      <c r="L23" s="394" t="s">
        <v>1075</v>
      </c>
      <c r="M23" s="394"/>
      <c r="N23" s="389">
        <f>AVERAGE(H23,I23,K23)</f>
        <v>4.8666666666666671</v>
      </c>
      <c r="O23" s="397">
        <v>3445</v>
      </c>
      <c r="P23" s="398">
        <v>1910.08</v>
      </c>
      <c r="Q23" s="397">
        <v>1292.8599999999999</v>
      </c>
      <c r="R23" s="397">
        <v>2794</v>
      </c>
      <c r="S23" s="397">
        <v>1516.38</v>
      </c>
      <c r="T23" s="397">
        <v>1524</v>
      </c>
      <c r="U23" s="397">
        <v>215</v>
      </c>
      <c r="V23" s="397">
        <v>215</v>
      </c>
      <c r="W23" s="397">
        <v>254</v>
      </c>
      <c r="X23" s="397">
        <v>254</v>
      </c>
      <c r="Y23" s="399">
        <f>S23-('FMTC Main'!$E$22-U23)</f>
        <v>1731.38</v>
      </c>
      <c r="Z23" s="399">
        <f>T23-('FMTC Main'!$E$27-V23)</f>
        <v>1739</v>
      </c>
      <c r="AA23" s="400" t="str">
        <f>A23&amp;" "&amp;B23&amp;" "&amp;C23</f>
        <v>1971 AMC Javelin-AMX</v>
      </c>
    </row>
    <row r="24" spans="1:27" ht="12.95" customHeight="1">
      <c r="A24" s="394">
        <v>2009</v>
      </c>
      <c r="B24" s="394" t="s">
        <v>87</v>
      </c>
      <c r="C24" s="394" t="s">
        <v>566</v>
      </c>
      <c r="D24" s="395">
        <v>2500000</v>
      </c>
      <c r="E24" s="394" t="s">
        <v>1086</v>
      </c>
      <c r="F24" s="394">
        <v>989</v>
      </c>
      <c r="G24" s="396">
        <v>9.1999999999999993</v>
      </c>
      <c r="H24" s="396">
        <v>9.9</v>
      </c>
      <c r="I24" s="396">
        <v>9.8000000000000007</v>
      </c>
      <c r="J24" s="396">
        <v>8.6999999999999993</v>
      </c>
      <c r="K24" s="396">
        <v>9.8000000000000007</v>
      </c>
      <c r="L24" s="394" t="s">
        <v>1076</v>
      </c>
      <c r="M24" s="394"/>
      <c r="N24" s="389">
        <f>AVERAGE(H24,I24,K24)</f>
        <v>9.8333333333333339</v>
      </c>
      <c r="O24" s="397">
        <v>1984</v>
      </c>
      <c r="P24" s="398">
        <v>1990</v>
      </c>
      <c r="Q24" s="397">
        <v>1100</v>
      </c>
      <c r="R24" s="397">
        <v>2890</v>
      </c>
      <c r="S24" s="397">
        <v>1634</v>
      </c>
      <c r="T24" s="397">
        <v>1609</v>
      </c>
      <c r="U24" s="397">
        <v>330</v>
      </c>
      <c r="V24" s="397">
        <v>370</v>
      </c>
      <c r="W24" s="397">
        <v>380</v>
      </c>
      <c r="X24" s="397">
        <v>380</v>
      </c>
      <c r="Y24" s="399">
        <f>S24-('FMTC Main'!$E$22-U24)</f>
        <v>1964</v>
      </c>
      <c r="Z24" s="399">
        <f>T24-('FMTC Main'!$E$27-V24)</f>
        <v>1979</v>
      </c>
      <c r="AA24" s="400" t="str">
        <f>A24&amp;" "&amp;B24&amp;" "&amp;C24</f>
        <v>2009 Aston Martin #007 Aston Martin Lola</v>
      </c>
    </row>
    <row r="25" spans="1:27" ht="12.95" customHeight="1">
      <c r="A25" s="394">
        <v>2006</v>
      </c>
      <c r="B25" s="394" t="s">
        <v>87</v>
      </c>
      <c r="C25" s="394" t="s">
        <v>88</v>
      </c>
      <c r="D25" s="395">
        <v>1100000</v>
      </c>
      <c r="E25" s="394" t="s">
        <v>1091</v>
      </c>
      <c r="F25" s="394">
        <v>825</v>
      </c>
      <c r="G25" s="396">
        <v>7.2</v>
      </c>
      <c r="H25" s="396">
        <v>8.1999999999999993</v>
      </c>
      <c r="I25" s="396">
        <v>9.1</v>
      </c>
      <c r="J25" s="396">
        <v>7.9</v>
      </c>
      <c r="K25" s="396">
        <v>8.3000000000000007</v>
      </c>
      <c r="L25" s="394" t="s">
        <v>1076</v>
      </c>
      <c r="M25" s="394"/>
      <c r="N25" s="389">
        <f>AVERAGE(H25,I25,K25)</f>
        <v>8.5333333333333332</v>
      </c>
      <c r="O25" s="397">
        <v>2425</v>
      </c>
      <c r="P25" s="398">
        <v>1978</v>
      </c>
      <c r="Q25" s="397">
        <v>1195</v>
      </c>
      <c r="R25" s="397">
        <v>2741</v>
      </c>
      <c r="S25" s="397">
        <v>1635</v>
      </c>
      <c r="T25" s="397">
        <v>1635</v>
      </c>
      <c r="U25" s="397">
        <v>290</v>
      </c>
      <c r="V25" s="397">
        <v>310</v>
      </c>
      <c r="W25" s="397">
        <v>330</v>
      </c>
      <c r="X25" s="397">
        <v>330</v>
      </c>
      <c r="Y25" s="399">
        <f>S25-('FMTC Main'!$E$22-U25)</f>
        <v>1925</v>
      </c>
      <c r="Z25" s="399">
        <f>T25-('FMTC Main'!$E$27-V25)</f>
        <v>1945</v>
      </c>
      <c r="AA25" s="400" t="str">
        <f>A25&amp;" "&amp;B25&amp;" "&amp;C25</f>
        <v>2006 Aston Martin #007 Aston Martin Racing DBR9</v>
      </c>
    </row>
    <row r="26" spans="1:27" ht="12.95" customHeight="1">
      <c r="A26" s="394">
        <v>2008</v>
      </c>
      <c r="B26" s="394" t="s">
        <v>87</v>
      </c>
      <c r="C26" s="394" t="s">
        <v>89</v>
      </c>
      <c r="D26" s="395">
        <v>1100000</v>
      </c>
      <c r="E26" s="394" t="s">
        <v>1091</v>
      </c>
      <c r="F26" s="394">
        <v>825</v>
      </c>
      <c r="G26" s="396">
        <v>7.2</v>
      </c>
      <c r="H26" s="396">
        <v>8.1999999999999993</v>
      </c>
      <c r="I26" s="396">
        <v>9.1</v>
      </c>
      <c r="J26" s="396">
        <v>7.9</v>
      </c>
      <c r="K26" s="396">
        <v>8.3000000000000007</v>
      </c>
      <c r="L26" s="394" t="s">
        <v>1076</v>
      </c>
      <c r="M26" s="394"/>
      <c r="N26" s="389">
        <f>AVERAGE(H26,I26,K26)</f>
        <v>8.5333333333333332</v>
      </c>
      <c r="O26" s="397">
        <v>2425</v>
      </c>
      <c r="P26" s="398">
        <v>1978</v>
      </c>
      <c r="Q26" s="397">
        <v>1195</v>
      </c>
      <c r="R26" s="397">
        <v>2741</v>
      </c>
      <c r="S26" s="397">
        <v>1635</v>
      </c>
      <c r="T26" s="397">
        <v>1635</v>
      </c>
      <c r="U26" s="397">
        <v>290</v>
      </c>
      <c r="V26" s="397">
        <v>310</v>
      </c>
      <c r="W26" s="397">
        <v>330</v>
      </c>
      <c r="X26" s="397">
        <v>330</v>
      </c>
      <c r="Y26" s="399">
        <f>S26-('FMTC Main'!$E$22-U26)</f>
        <v>1925</v>
      </c>
      <c r="Z26" s="399">
        <f>T26-('FMTC Main'!$E$27-V26)</f>
        <v>1945</v>
      </c>
      <c r="AA26" s="400" t="str">
        <f>A26&amp;" "&amp;B26&amp;" "&amp;C26</f>
        <v>2008 Aston Martin #009 Aston Martin Racing DBR9</v>
      </c>
    </row>
    <row r="27" spans="1:27" ht="12.95" customHeight="1">
      <c r="A27" s="394">
        <v>2011</v>
      </c>
      <c r="B27" s="394" t="s">
        <v>87</v>
      </c>
      <c r="C27" s="394" t="s">
        <v>791</v>
      </c>
      <c r="D27" s="395">
        <v>2500000</v>
      </c>
      <c r="E27" s="394" t="s">
        <v>1086</v>
      </c>
      <c r="F27" s="394">
        <v>989</v>
      </c>
      <c r="G27" s="396">
        <v>9.1999999999999993</v>
      </c>
      <c r="H27" s="396">
        <v>9.9</v>
      </c>
      <c r="I27" s="396">
        <v>9.8000000000000007</v>
      </c>
      <c r="J27" s="396">
        <v>8.6999999999999993</v>
      </c>
      <c r="K27" s="396">
        <v>9.8000000000000007</v>
      </c>
      <c r="L27" s="394" t="s">
        <v>1076</v>
      </c>
      <c r="M27" s="394"/>
      <c r="N27" s="389">
        <f>AVERAGE(H27,I27,K27)</f>
        <v>9.8333333333333339</v>
      </c>
      <c r="O27" s="397">
        <v>1984</v>
      </c>
      <c r="P27" s="398">
        <v>1990</v>
      </c>
      <c r="Q27" s="397">
        <v>1100</v>
      </c>
      <c r="R27" s="397">
        <v>2890</v>
      </c>
      <c r="S27" s="397">
        <v>1634</v>
      </c>
      <c r="T27" s="397">
        <v>1609</v>
      </c>
      <c r="U27" s="397">
        <v>330</v>
      </c>
      <c r="V27" s="397">
        <v>370</v>
      </c>
      <c r="W27" s="397">
        <v>380</v>
      </c>
      <c r="X27" s="397">
        <v>380</v>
      </c>
      <c r="Y27" s="399">
        <f>S27-('FMTC Main'!$E$22-U27)</f>
        <v>1964</v>
      </c>
      <c r="Z27" s="399">
        <f>T27-('FMTC Main'!$E$27-V27)</f>
        <v>1979</v>
      </c>
      <c r="AA27" s="400" t="str">
        <f>A27&amp;" "&amp;B27&amp;" "&amp;C27</f>
        <v>2011 Aston Martin #6 Muscle Milk Lola</v>
      </c>
    </row>
    <row r="28" spans="1:27" ht="12.95" customHeight="1">
      <c r="A28" s="394">
        <v>1964</v>
      </c>
      <c r="B28" s="394" t="s">
        <v>87</v>
      </c>
      <c r="C28" s="394" t="s">
        <v>343</v>
      </c>
      <c r="D28" s="395">
        <v>450000</v>
      </c>
      <c r="E28" s="394" t="s">
        <v>1085</v>
      </c>
      <c r="F28" s="394">
        <v>340</v>
      </c>
      <c r="G28" s="396">
        <v>4.9000000000000004</v>
      </c>
      <c r="H28" s="396">
        <v>4.2</v>
      </c>
      <c r="I28" s="396">
        <v>6.4</v>
      </c>
      <c r="J28" s="396">
        <v>6.7</v>
      </c>
      <c r="K28" s="396">
        <v>4.0999999999999996</v>
      </c>
      <c r="L28" s="394" t="s">
        <v>1076</v>
      </c>
      <c r="M28" s="394"/>
      <c r="N28" s="389">
        <f>AVERAGE(H28,I28,K28)</f>
        <v>4.9000000000000004</v>
      </c>
      <c r="O28" s="397">
        <v>3230</v>
      </c>
      <c r="P28" s="398">
        <v>1676.4</v>
      </c>
      <c r="Q28" s="397">
        <v>1346.2</v>
      </c>
      <c r="R28" s="397">
        <v>2489</v>
      </c>
      <c r="S28" s="397">
        <v>1371.6</v>
      </c>
      <c r="T28" s="397">
        <v>1358.9</v>
      </c>
      <c r="U28" s="397">
        <v>215</v>
      </c>
      <c r="V28" s="397">
        <v>215</v>
      </c>
      <c r="W28" s="397">
        <v>292</v>
      </c>
      <c r="X28" s="397">
        <v>274</v>
      </c>
      <c r="Y28" s="399">
        <f>S28-('FMTC Main'!$E$22-U28)</f>
        <v>1586.6</v>
      </c>
      <c r="Z28" s="399">
        <f>T28-('FMTC Main'!$E$27-V28)</f>
        <v>1573.9</v>
      </c>
      <c r="AA28" s="400" t="str">
        <f>A28&amp;" "&amp;B28&amp;" "&amp;C28</f>
        <v>1964 Aston Martin DB5 Vantage</v>
      </c>
    </row>
    <row r="29" spans="1:27" ht="12.95" customHeight="1">
      <c r="A29" s="394">
        <v>2005</v>
      </c>
      <c r="B29" s="394" t="s">
        <v>87</v>
      </c>
      <c r="C29" s="394" t="s">
        <v>90</v>
      </c>
      <c r="D29" s="395">
        <v>130000</v>
      </c>
      <c r="E29" s="394" t="s">
        <v>349</v>
      </c>
      <c r="F29" s="394">
        <v>526</v>
      </c>
      <c r="G29" s="396">
        <v>7.4</v>
      </c>
      <c r="H29" s="396">
        <v>5.5</v>
      </c>
      <c r="I29" s="396">
        <v>7.1</v>
      </c>
      <c r="J29" s="396">
        <v>7.5</v>
      </c>
      <c r="K29" s="396">
        <v>5.4</v>
      </c>
      <c r="L29" s="394" t="s">
        <v>1076</v>
      </c>
      <c r="M29" s="394"/>
      <c r="N29" s="389">
        <f>AVERAGE(H29,I29,K29)</f>
        <v>6</v>
      </c>
      <c r="O29" s="397">
        <v>3880</v>
      </c>
      <c r="P29" s="398">
        <v>1874</v>
      </c>
      <c r="Q29" s="397">
        <v>1318</v>
      </c>
      <c r="R29" s="397">
        <v>2740</v>
      </c>
      <c r="S29" s="397">
        <v>1568</v>
      </c>
      <c r="T29" s="397">
        <v>1562</v>
      </c>
      <c r="U29" s="397">
        <v>235</v>
      </c>
      <c r="V29" s="397">
        <v>275</v>
      </c>
      <c r="W29" s="397">
        <v>353</v>
      </c>
      <c r="X29" s="397">
        <v>330</v>
      </c>
      <c r="Y29" s="399">
        <f>S29-('FMTC Main'!$E$22-U29)</f>
        <v>1803</v>
      </c>
      <c r="Z29" s="399">
        <f>T29-('FMTC Main'!$E$27-V29)</f>
        <v>1837</v>
      </c>
      <c r="AA29" s="400" t="str">
        <f>A29&amp;" "&amp;B29&amp;" "&amp;C29</f>
        <v>2005 Aston Martin DB9 Coupe</v>
      </c>
    </row>
    <row r="30" spans="1:27" ht="12.95" customHeight="1">
      <c r="A30" s="394">
        <v>1958</v>
      </c>
      <c r="B30" s="394" t="s">
        <v>87</v>
      </c>
      <c r="C30" s="394" t="s">
        <v>789</v>
      </c>
      <c r="D30" s="395">
        <v>6000000</v>
      </c>
      <c r="E30" s="394" t="s">
        <v>1087</v>
      </c>
      <c r="F30" s="394">
        <v>418</v>
      </c>
      <c r="G30" s="396">
        <v>6.9</v>
      </c>
      <c r="H30" s="396">
        <v>4.0999999999999996</v>
      </c>
      <c r="I30" s="396">
        <v>7.2</v>
      </c>
      <c r="J30" s="396">
        <v>5.6</v>
      </c>
      <c r="K30" s="396">
        <v>3.9</v>
      </c>
      <c r="L30" s="394" t="s">
        <v>1076</v>
      </c>
      <c r="M30" s="394"/>
      <c r="N30" s="389">
        <f>AVERAGE(H30,I30,K30)</f>
        <v>5.0666666666666673</v>
      </c>
      <c r="O30" s="397">
        <v>1930</v>
      </c>
      <c r="P30" s="398">
        <v>1626</v>
      </c>
      <c r="Q30" s="397">
        <v>978</v>
      </c>
      <c r="R30" s="397">
        <v>2286</v>
      </c>
      <c r="S30" s="397">
        <v>1308</v>
      </c>
      <c r="T30" s="397">
        <v>1308</v>
      </c>
      <c r="U30" s="397">
        <v>195</v>
      </c>
      <c r="V30" s="397">
        <v>200</v>
      </c>
      <c r="W30" s="397">
        <v>318</v>
      </c>
      <c r="X30" s="397">
        <v>292</v>
      </c>
      <c r="Y30" s="399">
        <f>S30-('FMTC Main'!$E$22-U30)</f>
        <v>1503</v>
      </c>
      <c r="Z30" s="399">
        <f>T30-('FMTC Main'!$E$27-V30)</f>
        <v>1508</v>
      </c>
      <c r="AA30" s="400" t="str">
        <f>A30&amp;" "&amp;B30&amp;" "&amp;C30</f>
        <v>1958 Aston Martin DBR1</v>
      </c>
    </row>
    <row r="31" spans="1:27" ht="12.95" customHeight="1">
      <c r="A31" s="394">
        <v>2009</v>
      </c>
      <c r="B31" s="394" t="s">
        <v>87</v>
      </c>
      <c r="C31" s="394" t="s">
        <v>338</v>
      </c>
      <c r="D31" s="395">
        <v>250000</v>
      </c>
      <c r="E31" s="394" t="s">
        <v>349</v>
      </c>
      <c r="F31" s="394">
        <v>545</v>
      </c>
      <c r="G31" s="396">
        <v>8.4</v>
      </c>
      <c r="H31" s="396">
        <v>5.4</v>
      </c>
      <c r="I31" s="396">
        <v>7.7</v>
      </c>
      <c r="J31" s="396">
        <v>7.2</v>
      </c>
      <c r="K31" s="396">
        <v>5.4</v>
      </c>
      <c r="L31" s="394" t="s">
        <v>1076</v>
      </c>
      <c r="M31" s="394"/>
      <c r="N31" s="389">
        <f>AVERAGE(H31,I31,K31)</f>
        <v>6.166666666666667</v>
      </c>
      <c r="O31" s="397">
        <v>3737</v>
      </c>
      <c r="P31" s="398">
        <v>1905</v>
      </c>
      <c r="Q31" s="397">
        <v>1280</v>
      </c>
      <c r="R31" s="397">
        <v>2741</v>
      </c>
      <c r="S31" s="397">
        <v>1585</v>
      </c>
      <c r="T31" s="397">
        <v>1582</v>
      </c>
      <c r="U31" s="397">
        <v>245</v>
      </c>
      <c r="V31" s="397">
        <v>295</v>
      </c>
      <c r="W31" s="397">
        <v>398</v>
      </c>
      <c r="X31" s="397">
        <v>360</v>
      </c>
      <c r="Y31" s="399">
        <f>S31-('FMTC Main'!$E$22-U31)</f>
        <v>1830</v>
      </c>
      <c r="Z31" s="399">
        <f>T31-('FMTC Main'!$E$27-V31)</f>
        <v>1877</v>
      </c>
      <c r="AA31" s="400" t="str">
        <f>A31&amp;" "&amp;B31&amp;" "&amp;C31</f>
        <v>2009 Aston Martin DBS</v>
      </c>
    </row>
    <row r="32" spans="1:27" ht="12.95" customHeight="1">
      <c r="A32" s="394">
        <v>2010</v>
      </c>
      <c r="B32" s="394" t="s">
        <v>87</v>
      </c>
      <c r="C32" s="394" t="s">
        <v>637</v>
      </c>
      <c r="D32" s="395">
        <v>1800000</v>
      </c>
      <c r="E32" s="394" t="s">
        <v>1092</v>
      </c>
      <c r="F32" s="394">
        <v>673</v>
      </c>
      <c r="G32" s="396">
        <v>9.8000000000000007</v>
      </c>
      <c r="H32" s="396">
        <v>5.9</v>
      </c>
      <c r="I32" s="396">
        <v>8.6999999999999993</v>
      </c>
      <c r="J32" s="396">
        <v>7.8</v>
      </c>
      <c r="K32" s="396">
        <v>5.8</v>
      </c>
      <c r="L32" s="394" t="s">
        <v>1076</v>
      </c>
      <c r="M32" s="394"/>
      <c r="N32" s="389">
        <f>AVERAGE(H32,I32,K32)</f>
        <v>6.8</v>
      </c>
      <c r="O32" s="397">
        <v>3307</v>
      </c>
      <c r="P32" s="398">
        <v>1895</v>
      </c>
      <c r="Q32" s="397">
        <v>1220</v>
      </c>
      <c r="R32" s="397">
        <v>2791</v>
      </c>
      <c r="S32" s="397">
        <v>1620</v>
      </c>
      <c r="T32" s="397">
        <v>1660</v>
      </c>
      <c r="U32" s="397">
        <v>255</v>
      </c>
      <c r="V32" s="397">
        <v>335</v>
      </c>
      <c r="W32" s="397">
        <v>398</v>
      </c>
      <c r="X32" s="397">
        <v>360</v>
      </c>
      <c r="Y32" s="399">
        <f>S32-('FMTC Main'!$E$22-U32)</f>
        <v>1875</v>
      </c>
      <c r="Z32" s="399">
        <f>T32-('FMTC Main'!$E$27-V32)</f>
        <v>1995</v>
      </c>
      <c r="AA32" s="400" t="str">
        <f>A32&amp;" "&amp;B32&amp;" "&amp;C32</f>
        <v>2010 Aston Martin One-77</v>
      </c>
    </row>
    <row r="33" spans="1:27" ht="12.95" customHeight="1">
      <c r="A33" s="394">
        <v>2010</v>
      </c>
      <c r="B33" s="394" t="s">
        <v>87</v>
      </c>
      <c r="C33" s="394" t="s">
        <v>640</v>
      </c>
      <c r="D33" s="395">
        <v>200000</v>
      </c>
      <c r="E33" s="394" t="s">
        <v>349</v>
      </c>
      <c r="F33" s="394">
        <v>517</v>
      </c>
      <c r="G33" s="396">
        <v>8.6</v>
      </c>
      <c r="H33" s="396">
        <v>5.2</v>
      </c>
      <c r="I33" s="396">
        <v>7</v>
      </c>
      <c r="J33" s="396">
        <v>7.2</v>
      </c>
      <c r="K33" s="396">
        <v>5.0999999999999996</v>
      </c>
      <c r="L33" s="394" t="s">
        <v>1076</v>
      </c>
      <c r="M33" s="394"/>
      <c r="N33" s="389">
        <f>AVERAGE(H33,I33,K33)</f>
        <v>5.7666666666666657</v>
      </c>
      <c r="O33" s="397">
        <v>4299</v>
      </c>
      <c r="P33" s="398">
        <v>2140</v>
      </c>
      <c r="Q33" s="397">
        <v>1360</v>
      </c>
      <c r="R33" s="397">
        <v>2989</v>
      </c>
      <c r="S33" s="397">
        <v>1590</v>
      </c>
      <c r="T33" s="397">
        <v>1612</v>
      </c>
      <c r="U33" s="397">
        <v>245</v>
      </c>
      <c r="V33" s="397">
        <v>295</v>
      </c>
      <c r="W33" s="397">
        <v>390</v>
      </c>
      <c r="X33" s="397">
        <v>360</v>
      </c>
      <c r="Y33" s="399">
        <f>S33-('FMTC Main'!$E$22-U33)</f>
        <v>1835</v>
      </c>
      <c r="Z33" s="399">
        <f>T33-('FMTC Main'!$E$27-V33)</f>
        <v>1907</v>
      </c>
      <c r="AA33" s="400" t="str">
        <f>A33&amp;" "&amp;B33&amp;" "&amp;C33</f>
        <v>2010 Aston Martin Rapide</v>
      </c>
    </row>
    <row r="34" spans="1:27" ht="12.95" customHeight="1">
      <c r="A34" s="394">
        <v>2001</v>
      </c>
      <c r="B34" s="394" t="s">
        <v>87</v>
      </c>
      <c r="C34" s="394" t="s">
        <v>305</v>
      </c>
      <c r="D34" s="395">
        <v>90000</v>
      </c>
      <c r="E34" s="394" t="s">
        <v>349</v>
      </c>
      <c r="F34" s="394">
        <v>503</v>
      </c>
      <c r="G34" s="396">
        <v>7.9</v>
      </c>
      <c r="H34" s="396">
        <v>5.0999999999999996</v>
      </c>
      <c r="I34" s="396">
        <v>7.2</v>
      </c>
      <c r="J34" s="396">
        <v>6.3</v>
      </c>
      <c r="K34" s="396">
        <v>5</v>
      </c>
      <c r="L34" s="394" t="s">
        <v>1076</v>
      </c>
      <c r="M34" s="394"/>
      <c r="N34" s="389">
        <f>AVERAGE(H34,I34,K34)</f>
        <v>5.7666666666666666</v>
      </c>
      <c r="O34" s="397">
        <v>4110</v>
      </c>
      <c r="P34" s="398">
        <v>1719</v>
      </c>
      <c r="Q34" s="397">
        <v>1143</v>
      </c>
      <c r="R34" s="397">
        <v>2690</v>
      </c>
      <c r="S34" s="397">
        <v>1572</v>
      </c>
      <c r="T34" s="397">
        <v>1584</v>
      </c>
      <c r="U34" s="397">
        <v>255</v>
      </c>
      <c r="V34" s="397">
        <v>285</v>
      </c>
      <c r="W34" s="397">
        <v>335</v>
      </c>
      <c r="X34" s="397">
        <v>330</v>
      </c>
      <c r="Y34" s="399">
        <f>S34-('FMTC Main'!$E$22-U34)</f>
        <v>1827</v>
      </c>
      <c r="Z34" s="399">
        <f>T34-('FMTC Main'!$E$27-V34)</f>
        <v>1869</v>
      </c>
      <c r="AA34" s="400" t="str">
        <f>A34&amp;" "&amp;B34&amp;" "&amp;C34</f>
        <v>2001 Aston Martin V12 Vanquish</v>
      </c>
    </row>
    <row r="35" spans="1:27" ht="12.95" customHeight="1">
      <c r="A35" s="394">
        <v>2010</v>
      </c>
      <c r="B35" s="394" t="s">
        <v>87</v>
      </c>
      <c r="C35" s="394" t="s">
        <v>641</v>
      </c>
      <c r="D35" s="395">
        <v>270000</v>
      </c>
      <c r="E35" s="394" t="s">
        <v>349</v>
      </c>
      <c r="F35" s="394">
        <v>561</v>
      </c>
      <c r="G35" s="396">
        <v>8.1999999999999993</v>
      </c>
      <c r="H35" s="396">
        <v>5.7</v>
      </c>
      <c r="I35" s="396">
        <v>7.7</v>
      </c>
      <c r="J35" s="396">
        <v>7.5</v>
      </c>
      <c r="K35" s="396">
        <v>5.6</v>
      </c>
      <c r="L35" s="394" t="s">
        <v>1076</v>
      </c>
      <c r="M35" s="394"/>
      <c r="N35" s="389">
        <f>AVERAGE(H35,I35,K35)</f>
        <v>6.333333333333333</v>
      </c>
      <c r="O35" s="397">
        <v>3704</v>
      </c>
      <c r="P35" s="398">
        <v>1865</v>
      </c>
      <c r="Q35" s="397">
        <v>1241</v>
      </c>
      <c r="R35" s="397">
        <v>2600</v>
      </c>
      <c r="S35" s="397">
        <v>1244</v>
      </c>
      <c r="T35" s="397">
        <v>1559</v>
      </c>
      <c r="U35" s="397">
        <v>255</v>
      </c>
      <c r="V35" s="397">
        <v>295</v>
      </c>
      <c r="W35" s="397">
        <v>398</v>
      </c>
      <c r="X35" s="397">
        <v>360</v>
      </c>
      <c r="Y35" s="399">
        <f>S35-('FMTC Main'!$E$22-U35)</f>
        <v>1499</v>
      </c>
      <c r="Z35" s="399">
        <f>T35-('FMTC Main'!$E$27-V35)</f>
        <v>1854</v>
      </c>
      <c r="AA35" s="400" t="str">
        <f>A35&amp;" "&amp;B35&amp;" "&amp;C35</f>
        <v>2010 Aston Martin V12 Vantage</v>
      </c>
    </row>
    <row r="36" spans="1:27" ht="12.95" customHeight="1">
      <c r="A36" s="394">
        <v>1977</v>
      </c>
      <c r="B36" s="394" t="s">
        <v>87</v>
      </c>
      <c r="C36" s="394" t="s">
        <v>790</v>
      </c>
      <c r="D36" s="395">
        <v>35000</v>
      </c>
      <c r="E36" s="394" t="s">
        <v>1087</v>
      </c>
      <c r="F36" s="394">
        <v>408</v>
      </c>
      <c r="G36" s="396">
        <v>6.2</v>
      </c>
      <c r="H36" s="396">
        <v>4.3</v>
      </c>
      <c r="I36" s="396">
        <v>6.9</v>
      </c>
      <c r="J36" s="396">
        <v>7</v>
      </c>
      <c r="K36" s="396">
        <v>4.3</v>
      </c>
      <c r="L36" s="394" t="s">
        <v>1076</v>
      </c>
      <c r="M36" s="394"/>
      <c r="N36" s="389">
        <f>AVERAGE(H36,I36,K36)</f>
        <v>5.166666666666667</v>
      </c>
      <c r="O36" s="397">
        <v>3803</v>
      </c>
      <c r="P36" s="398">
        <v>1829</v>
      </c>
      <c r="Q36" s="397">
        <v>1346</v>
      </c>
      <c r="R36" s="397">
        <v>2610</v>
      </c>
      <c r="S36" s="397">
        <v>1499</v>
      </c>
      <c r="T36" s="397">
        <v>1499</v>
      </c>
      <c r="U36" s="397">
        <v>255</v>
      </c>
      <c r="V36" s="397">
        <v>255</v>
      </c>
      <c r="W36" s="397">
        <v>274</v>
      </c>
      <c r="X36" s="397">
        <v>264</v>
      </c>
      <c r="Y36" s="399">
        <f>S36-('FMTC Main'!$E$22-U36)</f>
        <v>1754</v>
      </c>
      <c r="Z36" s="399">
        <f>T36-('FMTC Main'!$E$27-V36)</f>
        <v>1754</v>
      </c>
      <c r="AA36" s="400" t="str">
        <f>A36&amp;" "&amp;B36&amp;" "&amp;C36</f>
        <v>1977 Aston Martin V8 Vantage</v>
      </c>
    </row>
    <row r="37" spans="1:27" ht="12.95" customHeight="1">
      <c r="A37" s="402">
        <v>2012</v>
      </c>
      <c r="B37" s="402" t="s">
        <v>87</v>
      </c>
      <c r="C37" s="402" t="s">
        <v>1131</v>
      </c>
      <c r="D37" s="403">
        <v>200000</v>
      </c>
      <c r="E37" s="402" t="s">
        <v>349</v>
      </c>
      <c r="F37" s="402">
        <v>535</v>
      </c>
      <c r="G37" s="404">
        <v>8.6999999999999993</v>
      </c>
      <c r="H37" s="404">
        <v>5.4</v>
      </c>
      <c r="I37" s="404">
        <v>7.2</v>
      </c>
      <c r="J37" s="404">
        <v>7.3</v>
      </c>
      <c r="K37" s="404">
        <v>5.3</v>
      </c>
      <c r="L37" s="402" t="s">
        <v>1076</v>
      </c>
      <c r="M37" s="394"/>
      <c r="N37" s="389">
        <f>AVERAGE(H37,I37,K37)</f>
        <v>5.9666666666666677</v>
      </c>
      <c r="O37" s="405">
        <v>3935</v>
      </c>
      <c r="P37" s="405">
        <v>1905</v>
      </c>
      <c r="Q37" s="405">
        <v>1280</v>
      </c>
      <c r="R37" s="405">
        <v>2740</v>
      </c>
      <c r="S37" s="405">
        <v>1586</v>
      </c>
      <c r="T37" s="405">
        <v>1581</v>
      </c>
      <c r="U37" s="405">
        <v>245</v>
      </c>
      <c r="V37" s="405">
        <v>295</v>
      </c>
      <c r="W37" s="405">
        <v>398</v>
      </c>
      <c r="X37" s="405">
        <v>360</v>
      </c>
      <c r="Y37" s="406">
        <f>S37-('FMTC Main'!$E$22-U37)</f>
        <v>1831</v>
      </c>
      <c r="Z37" s="406">
        <f>T37-('FMTC Main'!$E$27-V37)</f>
        <v>1876</v>
      </c>
      <c r="AA37" s="407" t="str">
        <f>A37&amp;" "&amp;B37&amp;" "&amp;C37</f>
        <v>2012 Aston Martin Virage</v>
      </c>
    </row>
    <row r="38" spans="1:27" ht="12.95" customHeight="1">
      <c r="A38" s="394">
        <v>2008</v>
      </c>
      <c r="B38" s="394" t="s">
        <v>91</v>
      </c>
      <c r="C38" s="394" t="s">
        <v>793</v>
      </c>
      <c r="D38" s="395">
        <v>1200000</v>
      </c>
      <c r="E38" s="394" t="s">
        <v>1091</v>
      </c>
      <c r="F38" s="394">
        <v>833</v>
      </c>
      <c r="G38" s="396">
        <v>6.9</v>
      </c>
      <c r="H38" s="396">
        <v>8.6999999999999993</v>
      </c>
      <c r="I38" s="396">
        <v>9.1</v>
      </c>
      <c r="J38" s="396">
        <v>7.9</v>
      </c>
      <c r="K38" s="396">
        <v>8.8000000000000007</v>
      </c>
      <c r="L38" s="394" t="s">
        <v>1093</v>
      </c>
      <c r="M38" s="394"/>
      <c r="N38" s="389">
        <f>AVERAGE(H38,I38,K38)</f>
        <v>8.8666666666666654</v>
      </c>
      <c r="O38" s="397">
        <v>2315</v>
      </c>
      <c r="P38" s="398">
        <v>1850</v>
      </c>
      <c r="Q38" s="397">
        <v>1200</v>
      </c>
      <c r="R38" s="397">
        <v>2750</v>
      </c>
      <c r="S38" s="397">
        <v>1522</v>
      </c>
      <c r="T38" s="397">
        <v>1522</v>
      </c>
      <c r="U38" s="397">
        <v>265</v>
      </c>
      <c r="V38" s="397">
        <v>280</v>
      </c>
      <c r="W38" s="397">
        <v>370</v>
      </c>
      <c r="X38" s="397">
        <v>340</v>
      </c>
      <c r="Y38" s="399">
        <f>S38-('FMTC Main'!$E$22-U38)</f>
        <v>1787</v>
      </c>
      <c r="Z38" s="399">
        <f>T38-('FMTC Main'!$E$27-V38)</f>
        <v>1802</v>
      </c>
      <c r="AA38" s="400" t="str">
        <f>A38&amp;" "&amp;B38&amp;" "&amp;C38</f>
        <v>2008 Audi #02 Audi A4 Touring Car</v>
      </c>
    </row>
    <row r="39" spans="1:27" ht="12.95" customHeight="1">
      <c r="A39" s="394">
        <v>2011</v>
      </c>
      <c r="B39" s="394" t="s">
        <v>91</v>
      </c>
      <c r="C39" s="394" t="s">
        <v>798</v>
      </c>
      <c r="D39" s="395">
        <v>1200000</v>
      </c>
      <c r="E39" s="394" t="s">
        <v>1091</v>
      </c>
      <c r="F39" s="394">
        <v>833</v>
      </c>
      <c r="G39" s="396">
        <v>6.9</v>
      </c>
      <c r="H39" s="396">
        <v>8.6999999999999993</v>
      </c>
      <c r="I39" s="396">
        <v>9.1</v>
      </c>
      <c r="J39" s="396">
        <v>7.9</v>
      </c>
      <c r="K39" s="396">
        <v>8.8000000000000007</v>
      </c>
      <c r="L39" s="394" t="s">
        <v>1093</v>
      </c>
      <c r="M39" s="394"/>
      <c r="N39" s="389">
        <f>AVERAGE(H39,I39,K39)</f>
        <v>8.8666666666666654</v>
      </c>
      <c r="O39" s="397">
        <v>2315</v>
      </c>
      <c r="P39" s="398">
        <v>1850</v>
      </c>
      <c r="Q39" s="397">
        <v>1200</v>
      </c>
      <c r="R39" s="397">
        <v>2750</v>
      </c>
      <c r="S39" s="397">
        <v>1522</v>
      </c>
      <c r="T39" s="397">
        <v>1522</v>
      </c>
      <c r="U39" s="397">
        <v>265</v>
      </c>
      <c r="V39" s="397">
        <v>280</v>
      </c>
      <c r="W39" s="397">
        <v>370</v>
      </c>
      <c r="X39" s="397">
        <v>340</v>
      </c>
      <c r="Y39" s="399">
        <f>S39-('FMTC Main'!$E$22-U39)</f>
        <v>1787</v>
      </c>
      <c r="Z39" s="399">
        <f>T39-('FMTC Main'!$E$27-V39)</f>
        <v>1802</v>
      </c>
      <c r="AA39" s="400" t="str">
        <f>A39&amp;" "&amp;B39&amp;" "&amp;C39</f>
        <v>2011 Audi #03 Audi A4 Touring Car</v>
      </c>
    </row>
    <row r="40" spans="1:27" ht="12.95" customHeight="1">
      <c r="A40" s="394">
        <v>2011</v>
      </c>
      <c r="B40" s="394" t="s">
        <v>91</v>
      </c>
      <c r="C40" s="394" t="s">
        <v>799</v>
      </c>
      <c r="D40" s="395">
        <v>1200000</v>
      </c>
      <c r="E40" s="394" t="s">
        <v>1091</v>
      </c>
      <c r="F40" s="394">
        <v>833</v>
      </c>
      <c r="G40" s="396">
        <v>6.9</v>
      </c>
      <c r="H40" s="396">
        <v>8.6999999999999993</v>
      </c>
      <c r="I40" s="396">
        <v>9.1</v>
      </c>
      <c r="J40" s="396">
        <v>7.9</v>
      </c>
      <c r="K40" s="396">
        <v>8.8000000000000007</v>
      </c>
      <c r="L40" s="394" t="s">
        <v>1093</v>
      </c>
      <c r="M40" s="394"/>
      <c r="N40" s="389">
        <f>AVERAGE(H40,I40,K40)</f>
        <v>8.8666666666666654</v>
      </c>
      <c r="O40" s="397">
        <v>2315</v>
      </c>
      <c r="P40" s="398">
        <v>1850</v>
      </c>
      <c r="Q40" s="397">
        <v>1200</v>
      </c>
      <c r="R40" s="397">
        <v>2750</v>
      </c>
      <c r="S40" s="397">
        <v>1522</v>
      </c>
      <c r="T40" s="397">
        <v>1522</v>
      </c>
      <c r="U40" s="397">
        <v>265</v>
      </c>
      <c r="V40" s="397">
        <v>280</v>
      </c>
      <c r="W40" s="397">
        <v>370</v>
      </c>
      <c r="X40" s="397">
        <v>340</v>
      </c>
      <c r="Y40" s="399">
        <f>S40-('FMTC Main'!$E$22-U40)</f>
        <v>1787</v>
      </c>
      <c r="Z40" s="399">
        <f>T40-('FMTC Main'!$E$27-V40)</f>
        <v>1802</v>
      </c>
      <c r="AA40" s="400" t="str">
        <f>A40&amp;" "&amp;B40&amp;" "&amp;C40</f>
        <v>2011 Audi #04 Audi A4 Touring Car</v>
      </c>
    </row>
    <row r="41" spans="1:27" ht="12.95" customHeight="1">
      <c r="A41" s="394">
        <v>2011</v>
      </c>
      <c r="B41" s="394" t="s">
        <v>91</v>
      </c>
      <c r="C41" s="394" t="s">
        <v>800</v>
      </c>
      <c r="D41" s="395">
        <v>1200000</v>
      </c>
      <c r="E41" s="394" t="s">
        <v>1091</v>
      </c>
      <c r="F41" s="394">
        <v>833</v>
      </c>
      <c r="G41" s="396">
        <v>6.9</v>
      </c>
      <c r="H41" s="396">
        <v>8.6999999999999993</v>
      </c>
      <c r="I41" s="396">
        <v>9.1</v>
      </c>
      <c r="J41" s="396">
        <v>7.9</v>
      </c>
      <c r="K41" s="396">
        <v>8.8000000000000007</v>
      </c>
      <c r="L41" s="394" t="s">
        <v>1093</v>
      </c>
      <c r="M41" s="394"/>
      <c r="N41" s="389">
        <f>AVERAGE(H41,I41,K41)</f>
        <v>8.8666666666666654</v>
      </c>
      <c r="O41" s="397">
        <v>2315</v>
      </c>
      <c r="P41" s="398">
        <v>1850</v>
      </c>
      <c r="Q41" s="397">
        <v>1200</v>
      </c>
      <c r="R41" s="397">
        <v>2750</v>
      </c>
      <c r="S41" s="397">
        <v>1522</v>
      </c>
      <c r="T41" s="397">
        <v>1522</v>
      </c>
      <c r="U41" s="397">
        <v>265</v>
      </c>
      <c r="V41" s="397">
        <v>280</v>
      </c>
      <c r="W41" s="397">
        <v>370</v>
      </c>
      <c r="X41" s="397">
        <v>340</v>
      </c>
      <c r="Y41" s="399">
        <f>S41-('FMTC Main'!$E$22-U41)</f>
        <v>1787</v>
      </c>
      <c r="Z41" s="399">
        <f>T41-('FMTC Main'!$E$27-V41)</f>
        <v>1802</v>
      </c>
      <c r="AA41" s="400" t="str">
        <f>A41&amp;" "&amp;B41&amp;" "&amp;C41</f>
        <v>2011 Audi #05 Audi A4 Touring Car</v>
      </c>
    </row>
    <row r="42" spans="1:27" ht="12.95" customHeight="1">
      <c r="A42" s="394">
        <v>2011</v>
      </c>
      <c r="B42" s="394" t="s">
        <v>91</v>
      </c>
      <c r="C42" s="394" t="s">
        <v>801</v>
      </c>
      <c r="D42" s="395">
        <v>1200000</v>
      </c>
      <c r="E42" s="394" t="s">
        <v>1091</v>
      </c>
      <c r="F42" s="394">
        <v>833</v>
      </c>
      <c r="G42" s="396">
        <v>6.9</v>
      </c>
      <c r="H42" s="396">
        <v>8.6999999999999993</v>
      </c>
      <c r="I42" s="396">
        <v>9.1</v>
      </c>
      <c r="J42" s="396">
        <v>7.9</v>
      </c>
      <c r="K42" s="396">
        <v>8.8000000000000007</v>
      </c>
      <c r="L42" s="394" t="s">
        <v>1093</v>
      </c>
      <c r="M42" s="394"/>
      <c r="N42" s="389">
        <f>AVERAGE(H42,I42,K42)</f>
        <v>8.8666666666666654</v>
      </c>
      <c r="O42" s="397">
        <v>2315</v>
      </c>
      <c r="P42" s="398">
        <v>1850</v>
      </c>
      <c r="Q42" s="397">
        <v>1200</v>
      </c>
      <c r="R42" s="397">
        <v>2750</v>
      </c>
      <c r="S42" s="397">
        <v>1522</v>
      </c>
      <c r="T42" s="397">
        <v>1522</v>
      </c>
      <c r="U42" s="397">
        <v>265</v>
      </c>
      <c r="V42" s="397">
        <v>280</v>
      </c>
      <c r="W42" s="397">
        <v>370</v>
      </c>
      <c r="X42" s="397">
        <v>340</v>
      </c>
      <c r="Y42" s="399">
        <f>S42-('FMTC Main'!$E$22-U42)</f>
        <v>1787</v>
      </c>
      <c r="Z42" s="399">
        <f>T42-('FMTC Main'!$E$27-V42)</f>
        <v>1802</v>
      </c>
      <c r="AA42" s="400" t="str">
        <f>A42&amp;" "&amp;B42&amp;" "&amp;C42</f>
        <v>2011 Audi #06 Audi A4 Touring Car</v>
      </c>
    </row>
    <row r="43" spans="1:27" ht="12.95" customHeight="1">
      <c r="A43" s="394">
        <v>2008</v>
      </c>
      <c r="B43" s="394" t="s">
        <v>91</v>
      </c>
      <c r="C43" s="394" t="s">
        <v>92</v>
      </c>
      <c r="D43" s="395">
        <v>2500000</v>
      </c>
      <c r="E43" s="394" t="s">
        <v>1086</v>
      </c>
      <c r="F43" s="394">
        <v>991</v>
      </c>
      <c r="G43" s="396">
        <v>9.1999999999999993</v>
      </c>
      <c r="H43" s="396">
        <v>9.8000000000000007</v>
      </c>
      <c r="I43" s="396">
        <v>9.9</v>
      </c>
      <c r="J43" s="396">
        <v>8.9</v>
      </c>
      <c r="K43" s="396">
        <v>9.8000000000000007</v>
      </c>
      <c r="L43" s="394" t="s">
        <v>1093</v>
      </c>
      <c r="M43" s="394"/>
      <c r="N43" s="389">
        <f>AVERAGE(H43,I43,K43)</f>
        <v>9.8333333333333339</v>
      </c>
      <c r="O43" s="397">
        <v>2039</v>
      </c>
      <c r="P43" s="398">
        <v>2000</v>
      </c>
      <c r="Q43" s="397">
        <v>1030</v>
      </c>
      <c r="R43" s="397">
        <v>2980</v>
      </c>
      <c r="S43" s="397">
        <v>1643</v>
      </c>
      <c r="T43" s="397">
        <v>1575</v>
      </c>
      <c r="U43" s="397">
        <v>330</v>
      </c>
      <c r="V43" s="397">
        <v>370</v>
      </c>
      <c r="W43" s="397">
        <v>380</v>
      </c>
      <c r="X43" s="397">
        <v>380</v>
      </c>
      <c r="Y43" s="399">
        <f>S43-('FMTC Main'!$E$22-U43)</f>
        <v>1973</v>
      </c>
      <c r="Z43" s="399">
        <f>T43-('FMTC Main'!$E$27-V43)</f>
        <v>1945</v>
      </c>
      <c r="AA43" s="400" t="str">
        <f>A43&amp;" "&amp;B43&amp;" "&amp;C43</f>
        <v>2008 Audi #2 Audi Sport North America R10 TDI</v>
      </c>
    </row>
    <row r="44" spans="1:27" ht="12.95" customHeight="1">
      <c r="A44" s="394">
        <v>2006</v>
      </c>
      <c r="B44" s="394" t="s">
        <v>91</v>
      </c>
      <c r="C44" s="394" t="s">
        <v>722</v>
      </c>
      <c r="D44" s="395">
        <v>2200000</v>
      </c>
      <c r="E44" s="394" t="s">
        <v>1086</v>
      </c>
      <c r="F44" s="394">
        <v>981</v>
      </c>
      <c r="G44" s="396">
        <v>8.9</v>
      </c>
      <c r="H44" s="396">
        <v>9.9</v>
      </c>
      <c r="I44" s="396">
        <v>9.8000000000000007</v>
      </c>
      <c r="J44" s="396">
        <v>8.6</v>
      </c>
      <c r="K44" s="396">
        <v>9.8000000000000007</v>
      </c>
      <c r="L44" s="394" t="s">
        <v>1093</v>
      </c>
      <c r="M44" s="394"/>
      <c r="N44" s="389">
        <f>AVERAGE(H44,I44,K44)</f>
        <v>9.8333333333333339</v>
      </c>
      <c r="O44" s="397">
        <v>1984</v>
      </c>
      <c r="P44" s="398">
        <v>2000</v>
      </c>
      <c r="Q44" s="397">
        <v>1080</v>
      </c>
      <c r="R44" s="397">
        <v>3080</v>
      </c>
      <c r="S44" s="397">
        <v>1643</v>
      </c>
      <c r="T44" s="397">
        <v>1575</v>
      </c>
      <c r="U44" s="397">
        <v>330</v>
      </c>
      <c r="V44" s="397">
        <v>360</v>
      </c>
      <c r="W44" s="397">
        <v>380</v>
      </c>
      <c r="X44" s="397">
        <v>380</v>
      </c>
      <c r="Y44" s="399">
        <f>S44-('FMTC Main'!$E$22-U44)</f>
        <v>1973</v>
      </c>
      <c r="Z44" s="399">
        <f>T44-('FMTC Main'!$E$27-V44)</f>
        <v>1935</v>
      </c>
      <c r="AA44" s="400" t="str">
        <f>A44&amp;" "&amp;B44&amp;" "&amp;C44</f>
        <v>2006 Audi #2 Audi Sport North America R8</v>
      </c>
    </row>
    <row r="45" spans="1:27" ht="12.95" customHeight="1">
      <c r="A45" s="394">
        <v>2009</v>
      </c>
      <c r="B45" s="394" t="s">
        <v>91</v>
      </c>
      <c r="C45" s="394" t="s">
        <v>563</v>
      </c>
      <c r="D45" s="395">
        <v>2500000</v>
      </c>
      <c r="E45" s="394" t="s">
        <v>1086</v>
      </c>
      <c r="F45" s="394">
        <v>995</v>
      </c>
      <c r="G45" s="396">
        <v>9.3000000000000007</v>
      </c>
      <c r="H45" s="396">
        <v>9.8000000000000007</v>
      </c>
      <c r="I45" s="396">
        <v>9.8000000000000007</v>
      </c>
      <c r="J45" s="396">
        <v>8.6999999999999993</v>
      </c>
      <c r="K45" s="396">
        <v>9.6999999999999993</v>
      </c>
      <c r="L45" s="394" t="s">
        <v>1093</v>
      </c>
      <c r="M45" s="394"/>
      <c r="N45" s="389">
        <f>AVERAGE(H45,I45,K45)</f>
        <v>9.7666666666666675</v>
      </c>
      <c r="O45" s="397">
        <v>2050</v>
      </c>
      <c r="P45" s="398">
        <v>2000</v>
      </c>
      <c r="Q45" s="397">
        <v>1030</v>
      </c>
      <c r="R45" s="397">
        <v>3080</v>
      </c>
      <c r="S45" s="397">
        <v>1643</v>
      </c>
      <c r="T45" s="397">
        <v>1575</v>
      </c>
      <c r="U45" s="397">
        <v>330</v>
      </c>
      <c r="V45" s="397">
        <v>370</v>
      </c>
      <c r="W45" s="397">
        <v>380</v>
      </c>
      <c r="X45" s="397">
        <v>380</v>
      </c>
      <c r="Y45" s="399">
        <f>S45-('FMTC Main'!$E$22-U45)</f>
        <v>1973</v>
      </c>
      <c r="Z45" s="399">
        <f>T45-('FMTC Main'!$E$27-V45)</f>
        <v>1945</v>
      </c>
      <c r="AA45" s="400" t="str">
        <f>A45&amp;" "&amp;B45&amp;" "&amp;C45</f>
        <v>2009 Audi #2 Audi Sport Team Joest R15 TDI</v>
      </c>
    </row>
    <row r="46" spans="1:27" ht="12.95" customHeight="1">
      <c r="A46" s="402">
        <v>2011</v>
      </c>
      <c r="B46" s="402" t="s">
        <v>91</v>
      </c>
      <c r="C46" s="402" t="s">
        <v>1132</v>
      </c>
      <c r="D46" s="403">
        <v>2500000</v>
      </c>
      <c r="E46" s="402" t="s">
        <v>1086</v>
      </c>
      <c r="F46" s="402">
        <v>981</v>
      </c>
      <c r="G46" s="404">
        <v>9.3000000000000007</v>
      </c>
      <c r="H46" s="404">
        <v>9.8000000000000007</v>
      </c>
      <c r="I46" s="404">
        <v>9.6999999999999993</v>
      </c>
      <c r="J46" s="404">
        <v>8.6</v>
      </c>
      <c r="K46" s="404">
        <v>9.6999999999999993</v>
      </c>
      <c r="L46" s="402" t="s">
        <v>1093</v>
      </c>
      <c r="M46" s="394"/>
      <c r="N46" s="389">
        <f>AVERAGE(H46,I46,K46)</f>
        <v>9.7333333333333325</v>
      </c>
      <c r="O46" s="405">
        <v>2050</v>
      </c>
      <c r="P46" s="405">
        <v>2000</v>
      </c>
      <c r="Q46" s="405">
        <v>1030</v>
      </c>
      <c r="R46" s="405">
        <v>2980</v>
      </c>
      <c r="S46" s="405">
        <v>1643</v>
      </c>
      <c r="T46" s="405">
        <v>1575</v>
      </c>
      <c r="U46" s="405">
        <v>330</v>
      </c>
      <c r="V46" s="405">
        <v>370</v>
      </c>
      <c r="W46" s="405">
        <v>380</v>
      </c>
      <c r="X46" s="405">
        <v>380</v>
      </c>
      <c r="Y46" s="406">
        <f>S46-('FMTC Main'!$E$22-U46)</f>
        <v>1973</v>
      </c>
      <c r="Z46" s="406">
        <f>T46-('FMTC Main'!$E$27-V46)</f>
        <v>1945</v>
      </c>
      <c r="AA46" s="407" t="str">
        <f>A46&amp;" "&amp;B46&amp;" "&amp;C46</f>
        <v>2011 Audi #2 Audi Sport Team Joest R15++ TDI</v>
      </c>
    </row>
    <row r="47" spans="1:27" ht="12.95" customHeight="1">
      <c r="A47" s="394">
        <v>2011</v>
      </c>
      <c r="B47" s="394" t="s">
        <v>91</v>
      </c>
      <c r="C47" s="394" t="s">
        <v>802</v>
      </c>
      <c r="D47" s="395">
        <v>2500000</v>
      </c>
      <c r="E47" s="394" t="s">
        <v>1086</v>
      </c>
      <c r="F47" s="394">
        <v>991</v>
      </c>
      <c r="G47" s="396">
        <v>9.1999999999999993</v>
      </c>
      <c r="H47" s="396">
        <v>9.8000000000000007</v>
      </c>
      <c r="I47" s="396">
        <v>9.9</v>
      </c>
      <c r="J47" s="396">
        <v>8.9</v>
      </c>
      <c r="K47" s="396">
        <v>9.8000000000000007</v>
      </c>
      <c r="L47" s="394" t="s">
        <v>1093</v>
      </c>
      <c r="M47" s="394"/>
      <c r="N47" s="389">
        <f>AVERAGE(H47,I47,K47)</f>
        <v>9.8333333333333339</v>
      </c>
      <c r="O47" s="397">
        <v>2039</v>
      </c>
      <c r="P47" s="398">
        <v>2000</v>
      </c>
      <c r="Q47" s="397">
        <v>1030</v>
      </c>
      <c r="R47" s="397">
        <v>2980</v>
      </c>
      <c r="S47" s="397">
        <v>1643</v>
      </c>
      <c r="T47" s="397">
        <v>1575</v>
      </c>
      <c r="U47" s="397">
        <v>330</v>
      </c>
      <c r="V47" s="397">
        <v>370</v>
      </c>
      <c r="W47" s="397">
        <v>380</v>
      </c>
      <c r="X47" s="397">
        <v>380</v>
      </c>
      <c r="Y47" s="399">
        <f>S47-('FMTC Main'!$E$22-U47)</f>
        <v>1973</v>
      </c>
      <c r="Z47" s="399">
        <f>T47-('FMTC Main'!$E$27-V47)</f>
        <v>1945</v>
      </c>
      <c r="AA47" s="400" t="str">
        <f>A47&amp;" "&amp;B47&amp;" "&amp;C47</f>
        <v>2011 Audi #4 Forza Motorsport R10 TDI</v>
      </c>
    </row>
    <row r="48" spans="1:27" ht="12.95" customHeight="1">
      <c r="A48" s="394">
        <v>2004</v>
      </c>
      <c r="B48" s="394" t="s">
        <v>91</v>
      </c>
      <c r="C48" s="394" t="s">
        <v>306</v>
      </c>
      <c r="D48" s="395">
        <v>1200000</v>
      </c>
      <c r="E48" s="394" t="s">
        <v>1091</v>
      </c>
      <c r="F48" s="394">
        <v>827</v>
      </c>
      <c r="G48" s="396">
        <v>6.9</v>
      </c>
      <c r="H48" s="396">
        <v>8.6999999999999993</v>
      </c>
      <c r="I48" s="396">
        <v>9</v>
      </c>
      <c r="J48" s="396">
        <v>7.9</v>
      </c>
      <c r="K48" s="396">
        <v>8.6999999999999993</v>
      </c>
      <c r="L48" s="394" t="s">
        <v>1093</v>
      </c>
      <c r="M48" s="394"/>
      <c r="N48" s="389">
        <f>AVERAGE(H48,I48,K48)</f>
        <v>8.7999999999999989</v>
      </c>
      <c r="O48" s="397">
        <v>2293</v>
      </c>
      <c r="P48" s="398">
        <v>1850</v>
      </c>
      <c r="Q48" s="397">
        <v>1203</v>
      </c>
      <c r="R48" s="397">
        <v>2600</v>
      </c>
      <c r="S48" s="397">
        <v>1615</v>
      </c>
      <c r="T48" s="397">
        <v>1539</v>
      </c>
      <c r="U48" s="397">
        <v>270</v>
      </c>
      <c r="V48" s="397">
        <v>270</v>
      </c>
      <c r="W48" s="397">
        <v>380</v>
      </c>
      <c r="X48" s="397">
        <v>340</v>
      </c>
      <c r="Y48" s="399">
        <f>S48-('FMTC Main'!$E$22-U48)</f>
        <v>1885</v>
      </c>
      <c r="Z48" s="399">
        <f>T48-('FMTC Main'!$E$27-V48)</f>
        <v>1809</v>
      </c>
      <c r="AA48" s="400" t="str">
        <f>A48&amp;" "&amp;B48&amp;" "&amp;C48</f>
        <v>2004 Audi #8 Audi ABT TT-R</v>
      </c>
    </row>
    <row r="49" spans="1:27" ht="12.95" customHeight="1">
      <c r="A49" s="394">
        <v>2009</v>
      </c>
      <c r="B49" s="394" t="s">
        <v>91</v>
      </c>
      <c r="C49" s="394" t="s">
        <v>93</v>
      </c>
      <c r="D49" s="395">
        <v>100000</v>
      </c>
      <c r="E49" s="394" t="s">
        <v>1087</v>
      </c>
      <c r="F49" s="394">
        <v>401</v>
      </c>
      <c r="G49" s="396">
        <v>6.3</v>
      </c>
      <c r="H49" s="396">
        <v>3.6</v>
      </c>
      <c r="I49" s="396">
        <v>6.3</v>
      </c>
      <c r="J49" s="396">
        <v>7.3</v>
      </c>
      <c r="K49" s="396">
        <v>3.9</v>
      </c>
      <c r="L49" s="394" t="s">
        <v>1093</v>
      </c>
      <c r="M49" s="394"/>
      <c r="N49" s="389">
        <f>AVERAGE(H49,I49,K49)</f>
        <v>4.6000000000000005</v>
      </c>
      <c r="O49" s="397">
        <v>5743</v>
      </c>
      <c r="P49" s="398">
        <v>2000</v>
      </c>
      <c r="Q49" s="397">
        <v>1737</v>
      </c>
      <c r="R49" s="397">
        <v>3002</v>
      </c>
      <c r="S49" s="397">
        <v>1651</v>
      </c>
      <c r="T49" s="397">
        <v>1679</v>
      </c>
      <c r="U49" s="397">
        <v>295</v>
      </c>
      <c r="V49" s="397">
        <v>295</v>
      </c>
      <c r="W49" s="397">
        <v>420</v>
      </c>
      <c r="X49" s="397">
        <v>370</v>
      </c>
      <c r="Y49" s="399">
        <f>S49-('FMTC Main'!$E$22-U49)</f>
        <v>1946</v>
      </c>
      <c r="Z49" s="399">
        <f>T49-('FMTC Main'!$E$27-V49)</f>
        <v>1974</v>
      </c>
      <c r="AA49" s="400" t="str">
        <f>A49&amp;" "&amp;B49&amp;" "&amp;C49</f>
        <v>2009 Audi Q7 V12 TDI</v>
      </c>
    </row>
    <row r="50" spans="1:27" ht="12.95" customHeight="1">
      <c r="A50" s="394">
        <v>2008</v>
      </c>
      <c r="B50" s="394" t="s">
        <v>91</v>
      </c>
      <c r="C50" s="394" t="s">
        <v>794</v>
      </c>
      <c r="D50" s="395">
        <v>120000</v>
      </c>
      <c r="E50" s="394" t="s">
        <v>349</v>
      </c>
      <c r="F50" s="394">
        <v>590</v>
      </c>
      <c r="G50" s="396">
        <v>8.5</v>
      </c>
      <c r="H50" s="396">
        <v>5.6</v>
      </c>
      <c r="I50" s="396">
        <v>7.6</v>
      </c>
      <c r="J50" s="396">
        <v>8.8000000000000007</v>
      </c>
      <c r="K50" s="396">
        <v>5.5</v>
      </c>
      <c r="L50" s="394" t="s">
        <v>1093</v>
      </c>
      <c r="M50" s="394"/>
      <c r="N50" s="389">
        <f>AVERAGE(H50,I50,K50)</f>
        <v>6.2333333333333334</v>
      </c>
      <c r="O50" s="397">
        <v>3439</v>
      </c>
      <c r="P50" s="398">
        <v>1904</v>
      </c>
      <c r="Q50" s="397">
        <v>1252</v>
      </c>
      <c r="R50" s="397">
        <v>2650</v>
      </c>
      <c r="S50" s="397">
        <v>1632</v>
      </c>
      <c r="T50" s="397">
        <v>1593</v>
      </c>
      <c r="U50" s="397">
        <v>235</v>
      </c>
      <c r="V50" s="397">
        <v>285</v>
      </c>
      <c r="W50" s="397">
        <v>365</v>
      </c>
      <c r="X50" s="397">
        <v>355</v>
      </c>
      <c r="Y50" s="399">
        <f>S50-('FMTC Main'!$E$22-U50)</f>
        <v>1867</v>
      </c>
      <c r="Z50" s="399">
        <f>T50-('FMTC Main'!$E$27-V50)</f>
        <v>1878</v>
      </c>
      <c r="AA50" s="400" t="str">
        <f>A50&amp;" "&amp;B50&amp;" "&amp;C50</f>
        <v>2008 Audi R8 4.2 FSI</v>
      </c>
    </row>
    <row r="51" spans="1:27" ht="12.95" customHeight="1">
      <c r="A51" s="394">
        <v>2010</v>
      </c>
      <c r="B51" s="394" t="s">
        <v>91</v>
      </c>
      <c r="C51" s="394" t="s">
        <v>796</v>
      </c>
      <c r="D51" s="395">
        <v>150000</v>
      </c>
      <c r="E51" s="394" t="s">
        <v>1092</v>
      </c>
      <c r="F51" s="394">
        <v>639</v>
      </c>
      <c r="G51" s="396">
        <v>8.9</v>
      </c>
      <c r="H51" s="396">
        <v>5.7</v>
      </c>
      <c r="I51" s="396">
        <v>8.4</v>
      </c>
      <c r="J51" s="396">
        <v>9.1</v>
      </c>
      <c r="K51" s="396">
        <v>5.7</v>
      </c>
      <c r="L51" s="394" t="s">
        <v>1093</v>
      </c>
      <c r="M51" s="394"/>
      <c r="N51" s="389">
        <f>AVERAGE(H51,I51,K51)</f>
        <v>6.6000000000000005</v>
      </c>
      <c r="O51" s="397">
        <v>3571</v>
      </c>
      <c r="P51" s="398">
        <v>1905</v>
      </c>
      <c r="Q51" s="397">
        <v>1252</v>
      </c>
      <c r="R51" s="397">
        <v>2649</v>
      </c>
      <c r="S51" s="397">
        <v>1633</v>
      </c>
      <c r="T51" s="397">
        <v>1595</v>
      </c>
      <c r="U51" s="397">
        <v>235</v>
      </c>
      <c r="V51" s="397">
        <v>295</v>
      </c>
      <c r="W51" s="397">
        <v>365</v>
      </c>
      <c r="X51" s="397">
        <v>356</v>
      </c>
      <c r="Y51" s="399">
        <f>S51-('FMTC Main'!$E$22-U51)</f>
        <v>1868</v>
      </c>
      <c r="Z51" s="399">
        <f>T51-('FMTC Main'!$E$27-V51)</f>
        <v>1890</v>
      </c>
      <c r="AA51" s="400" t="str">
        <f>A51&amp;" "&amp;B51&amp;" "&amp;C51</f>
        <v>2010 Audi R8 5.2 FSI</v>
      </c>
    </row>
    <row r="52" spans="1:27" ht="12.95" customHeight="1">
      <c r="A52" s="394">
        <v>2009</v>
      </c>
      <c r="B52" s="394" t="s">
        <v>91</v>
      </c>
      <c r="C52" s="394" t="s">
        <v>795</v>
      </c>
      <c r="D52" s="395">
        <v>900000</v>
      </c>
      <c r="E52" s="394" t="s">
        <v>1094</v>
      </c>
      <c r="F52" s="394">
        <v>744</v>
      </c>
      <c r="G52" s="396">
        <v>7.7</v>
      </c>
      <c r="H52" s="396">
        <v>7.4</v>
      </c>
      <c r="I52" s="396">
        <v>8.8000000000000007</v>
      </c>
      <c r="J52" s="396">
        <v>8.5</v>
      </c>
      <c r="K52" s="396">
        <v>7.3</v>
      </c>
      <c r="L52" s="394" t="s">
        <v>1093</v>
      </c>
      <c r="M52" s="394"/>
      <c r="N52" s="389">
        <f>AVERAGE(H52,I52,K52)</f>
        <v>7.8333333333333348</v>
      </c>
      <c r="O52" s="397">
        <v>3064</v>
      </c>
      <c r="P52" s="398">
        <v>1984</v>
      </c>
      <c r="Q52" s="397">
        <v>1195</v>
      </c>
      <c r="R52" s="397">
        <v>2650</v>
      </c>
      <c r="S52" s="397">
        <v>1638</v>
      </c>
      <c r="T52" s="397">
        <v>1595</v>
      </c>
      <c r="U52" s="397">
        <v>270</v>
      </c>
      <c r="V52" s="397">
        <v>310</v>
      </c>
      <c r="W52" s="397">
        <v>365</v>
      </c>
      <c r="X52" s="397">
        <v>356</v>
      </c>
      <c r="Y52" s="399">
        <f>S52-('FMTC Main'!$E$22-U52)</f>
        <v>1908</v>
      </c>
      <c r="Z52" s="399">
        <f>T52-('FMTC Main'!$E$27-V52)</f>
        <v>1905</v>
      </c>
      <c r="AA52" s="400" t="str">
        <f>A52&amp;" "&amp;B52&amp;" "&amp;C52</f>
        <v>2009 Audi R8 LMS</v>
      </c>
    </row>
    <row r="53" spans="1:27" ht="12.95" customHeight="1">
      <c r="A53" s="394">
        <v>2006</v>
      </c>
      <c r="B53" s="394" t="s">
        <v>91</v>
      </c>
      <c r="C53" s="394" t="s">
        <v>94</v>
      </c>
      <c r="D53" s="395">
        <v>42000</v>
      </c>
      <c r="E53" s="394" t="s">
        <v>349</v>
      </c>
      <c r="F53" s="394">
        <v>560</v>
      </c>
      <c r="G53" s="396">
        <v>7.7</v>
      </c>
      <c r="H53" s="396">
        <v>5.2</v>
      </c>
      <c r="I53" s="396">
        <v>7.4</v>
      </c>
      <c r="J53" s="396">
        <v>8.4</v>
      </c>
      <c r="K53" s="396">
        <v>5.0999999999999996</v>
      </c>
      <c r="L53" s="394" t="s">
        <v>1093</v>
      </c>
      <c r="M53" s="394"/>
      <c r="N53" s="389">
        <f>AVERAGE(H53,I53,K53)</f>
        <v>5.9000000000000012</v>
      </c>
      <c r="O53" s="397">
        <v>3638</v>
      </c>
      <c r="P53" s="398">
        <v>1803</v>
      </c>
      <c r="Q53" s="397">
        <v>1422</v>
      </c>
      <c r="R53" s="397">
        <v>2649</v>
      </c>
      <c r="S53" s="397">
        <v>1559</v>
      </c>
      <c r="T53" s="397">
        <v>1569</v>
      </c>
      <c r="U53" s="397">
        <v>255</v>
      </c>
      <c r="V53" s="397">
        <v>255</v>
      </c>
      <c r="W53" s="397">
        <v>365</v>
      </c>
      <c r="X53" s="397">
        <v>324</v>
      </c>
      <c r="Y53" s="399">
        <f>S53-('FMTC Main'!$E$22-U53)</f>
        <v>1814</v>
      </c>
      <c r="Z53" s="399">
        <f>T53-('FMTC Main'!$E$27-V53)</f>
        <v>1824</v>
      </c>
      <c r="AA53" s="400" t="str">
        <f>A53&amp;" "&amp;B53&amp;" "&amp;C53</f>
        <v>2006 Audi RS 4</v>
      </c>
    </row>
    <row r="54" spans="1:27" ht="12.95" customHeight="1">
      <c r="A54" s="394">
        <v>2003</v>
      </c>
      <c r="B54" s="394" t="s">
        <v>91</v>
      </c>
      <c r="C54" s="394" t="s">
        <v>95</v>
      </c>
      <c r="D54" s="395">
        <v>28000</v>
      </c>
      <c r="E54" s="394" t="s">
        <v>1088</v>
      </c>
      <c r="F54" s="394">
        <v>496</v>
      </c>
      <c r="G54" s="396">
        <v>7.1</v>
      </c>
      <c r="H54" s="396">
        <v>4.8</v>
      </c>
      <c r="I54" s="396">
        <v>6.8</v>
      </c>
      <c r="J54" s="396">
        <v>7.2</v>
      </c>
      <c r="K54" s="396">
        <v>4.8</v>
      </c>
      <c r="L54" s="394" t="s">
        <v>1093</v>
      </c>
      <c r="M54" s="394"/>
      <c r="N54" s="389">
        <f>AVERAGE(H54,I54,K54)</f>
        <v>5.4666666666666659</v>
      </c>
      <c r="O54" s="397">
        <v>4024</v>
      </c>
      <c r="P54" s="398">
        <v>1992</v>
      </c>
      <c r="Q54" s="397">
        <v>1426</v>
      </c>
      <c r="R54" s="397">
        <v>2759</v>
      </c>
      <c r="S54" s="397">
        <v>1578</v>
      </c>
      <c r="T54" s="397">
        <v>1587</v>
      </c>
      <c r="U54" s="397">
        <v>255</v>
      </c>
      <c r="V54" s="397">
        <v>255</v>
      </c>
      <c r="W54" s="397">
        <v>365</v>
      </c>
      <c r="X54" s="397">
        <v>335</v>
      </c>
      <c r="Y54" s="399">
        <f>S54-('FMTC Main'!$E$22-U54)</f>
        <v>1833</v>
      </c>
      <c r="Z54" s="399">
        <f>T54-('FMTC Main'!$E$27-V54)</f>
        <v>1842</v>
      </c>
      <c r="AA54" s="400" t="str">
        <f>A54&amp;" "&amp;B54&amp;" "&amp;C54</f>
        <v>2003 Audi RS 6</v>
      </c>
    </row>
    <row r="55" spans="1:27" ht="12.95" customHeight="1">
      <c r="A55" s="394">
        <v>2009</v>
      </c>
      <c r="B55" s="394" t="s">
        <v>91</v>
      </c>
      <c r="C55" s="394" t="s">
        <v>95</v>
      </c>
      <c r="D55" s="395">
        <v>140000</v>
      </c>
      <c r="E55" s="394" t="s">
        <v>349</v>
      </c>
      <c r="F55" s="394">
        <v>566</v>
      </c>
      <c r="G55" s="396">
        <v>8.9</v>
      </c>
      <c r="H55" s="396">
        <v>5.2</v>
      </c>
      <c r="I55" s="396">
        <v>7.2</v>
      </c>
      <c r="J55" s="396">
        <v>8.5</v>
      </c>
      <c r="K55" s="396">
        <v>5.2</v>
      </c>
      <c r="L55" s="394" t="s">
        <v>1093</v>
      </c>
      <c r="M55" s="394"/>
      <c r="N55" s="389">
        <f>AVERAGE(H55,I55,K55)</f>
        <v>5.8666666666666671</v>
      </c>
      <c r="O55" s="397">
        <v>4376</v>
      </c>
      <c r="P55" s="398">
        <v>1889</v>
      </c>
      <c r="Q55" s="397">
        <v>1456</v>
      </c>
      <c r="R55" s="397">
        <v>2846</v>
      </c>
      <c r="S55" s="397">
        <v>1614</v>
      </c>
      <c r="T55" s="397">
        <v>1637</v>
      </c>
      <c r="U55" s="397">
        <v>275</v>
      </c>
      <c r="V55" s="397">
        <v>275</v>
      </c>
      <c r="W55" s="397">
        <v>390</v>
      </c>
      <c r="X55" s="397">
        <v>365</v>
      </c>
      <c r="Y55" s="399">
        <f>S55-('FMTC Main'!$E$22-U55)</f>
        <v>1889</v>
      </c>
      <c r="Z55" s="399">
        <f>T55-('FMTC Main'!$E$27-V55)</f>
        <v>1912</v>
      </c>
      <c r="AA55" s="400" t="str">
        <f>A55&amp;" "&amp;B55&amp;" "&amp;C55</f>
        <v>2009 Audi RS 6</v>
      </c>
    </row>
    <row r="56" spans="1:27" ht="12.95" customHeight="1">
      <c r="A56" s="394">
        <v>1995</v>
      </c>
      <c r="B56" s="394" t="s">
        <v>91</v>
      </c>
      <c r="C56" s="394" t="s">
        <v>792</v>
      </c>
      <c r="D56" s="395">
        <v>24000</v>
      </c>
      <c r="E56" s="394" t="s">
        <v>1088</v>
      </c>
      <c r="F56" s="394">
        <v>446</v>
      </c>
      <c r="G56" s="396">
        <v>5.9</v>
      </c>
      <c r="H56" s="396">
        <v>4.8</v>
      </c>
      <c r="I56" s="396">
        <v>6.3</v>
      </c>
      <c r="J56" s="396">
        <v>7.1</v>
      </c>
      <c r="K56" s="396">
        <v>4.7</v>
      </c>
      <c r="L56" s="394" t="s">
        <v>1093</v>
      </c>
      <c r="M56" s="394"/>
      <c r="N56" s="389">
        <f>AVERAGE(H56,I56,K56)</f>
        <v>5.2666666666666666</v>
      </c>
      <c r="O56" s="397">
        <v>3517</v>
      </c>
      <c r="P56" s="398">
        <v>1702</v>
      </c>
      <c r="Q56" s="397">
        <v>1397</v>
      </c>
      <c r="R56" s="397">
        <v>2591</v>
      </c>
      <c r="S56" s="397">
        <v>1448</v>
      </c>
      <c r="T56" s="397">
        <v>1474</v>
      </c>
      <c r="U56" s="397">
        <v>245</v>
      </c>
      <c r="V56" s="397">
        <v>245</v>
      </c>
      <c r="W56" s="397">
        <v>304</v>
      </c>
      <c r="X56" s="397">
        <v>299</v>
      </c>
      <c r="Y56" s="399">
        <f>S56-('FMTC Main'!$E$22-U56)</f>
        <v>1693</v>
      </c>
      <c r="Z56" s="399">
        <f>T56-('FMTC Main'!$E$27-V56)</f>
        <v>1719</v>
      </c>
      <c r="AA56" s="400" t="str">
        <f>A56&amp;" "&amp;B56&amp;" "&amp;C56</f>
        <v>1995 Audi RS2 Avant</v>
      </c>
    </row>
    <row r="57" spans="1:27" ht="12.95" customHeight="1">
      <c r="A57" s="402">
        <v>2011</v>
      </c>
      <c r="B57" s="402" t="s">
        <v>91</v>
      </c>
      <c r="C57" s="402" t="s">
        <v>1137</v>
      </c>
      <c r="D57" s="403">
        <v>60000</v>
      </c>
      <c r="E57" s="402" t="s">
        <v>1088</v>
      </c>
      <c r="F57" s="402">
        <v>482</v>
      </c>
      <c r="G57" s="404">
        <v>6.3</v>
      </c>
      <c r="H57" s="404">
        <v>4.7</v>
      </c>
      <c r="I57" s="404">
        <v>6.8</v>
      </c>
      <c r="J57" s="404">
        <v>7.9</v>
      </c>
      <c r="K57" s="404">
        <v>4.5999999999999996</v>
      </c>
      <c r="L57" s="402" t="s">
        <v>1093</v>
      </c>
      <c r="M57" s="394"/>
      <c r="N57" s="389">
        <f>AVERAGE(H57,I57,K57)</f>
        <v>5.3666666666666671</v>
      </c>
      <c r="O57" s="405">
        <v>3472</v>
      </c>
      <c r="P57" s="405">
        <v>1794</v>
      </c>
      <c r="Q57" s="405">
        <v>1402</v>
      </c>
      <c r="R57" s="405">
        <v>2578</v>
      </c>
      <c r="S57" s="405">
        <v>1564</v>
      </c>
      <c r="T57" s="405">
        <v>1528</v>
      </c>
      <c r="U57" s="405">
        <v>235</v>
      </c>
      <c r="V57" s="405">
        <v>225</v>
      </c>
      <c r="W57" s="405">
        <v>370</v>
      </c>
      <c r="X57" s="405">
        <v>310</v>
      </c>
      <c r="Y57" s="406">
        <f>S57-('FMTC Main'!$E$22-U57)</f>
        <v>1799</v>
      </c>
      <c r="Z57" s="406">
        <f>T57-('FMTC Main'!$E$27-V57)</f>
        <v>1753</v>
      </c>
      <c r="AA57" s="407" t="str">
        <f>A57&amp;" "&amp;B57&amp;" "&amp;C57</f>
        <v>2011 Audi RS3 Sportback</v>
      </c>
    </row>
    <row r="58" spans="1:27" ht="12.95" customHeight="1">
      <c r="A58" s="402">
        <v>2011</v>
      </c>
      <c r="B58" s="402" t="s">
        <v>91</v>
      </c>
      <c r="C58" s="402" t="s">
        <v>1158</v>
      </c>
      <c r="D58" s="403">
        <v>105000</v>
      </c>
      <c r="E58" s="402" t="s">
        <v>349</v>
      </c>
      <c r="F58" s="402">
        <v>552</v>
      </c>
      <c r="G58" s="404">
        <v>7.3</v>
      </c>
      <c r="H58" s="404">
        <v>5.2</v>
      </c>
      <c r="I58" s="404">
        <v>7.1</v>
      </c>
      <c r="J58" s="404">
        <v>4</v>
      </c>
      <c r="K58" s="404">
        <v>5.3</v>
      </c>
      <c r="L58" s="402" t="s">
        <v>1093</v>
      </c>
      <c r="M58" s="402" t="s">
        <v>1154</v>
      </c>
      <c r="N58" s="389">
        <f>AVERAGE(H58,I58,K58)</f>
        <v>5.8666666666666671</v>
      </c>
      <c r="O58" s="405">
        <v>3830</v>
      </c>
      <c r="P58" s="405">
        <v>2019</v>
      </c>
      <c r="Q58" s="405">
        <v>1367</v>
      </c>
      <c r="R58" s="405">
        <v>2751</v>
      </c>
      <c r="S58" s="405">
        <v>1585</v>
      </c>
      <c r="T58" s="405">
        <v>1582</v>
      </c>
      <c r="U58" s="405">
        <v>265</v>
      </c>
      <c r="V58" s="405">
        <v>265</v>
      </c>
      <c r="W58" s="405">
        <v>366</v>
      </c>
      <c r="X58" s="405">
        <v>325</v>
      </c>
      <c r="Y58" s="406">
        <f>S58-('FMTC Main'!$E$22-U58)</f>
        <v>1850</v>
      </c>
      <c r="Z58" s="406">
        <f>T58-('FMTC Main'!$E$27-V58)</f>
        <v>1847</v>
      </c>
      <c r="AA58" s="407" t="str">
        <f>A58&amp;" "&amp;B58&amp;" "&amp;C58</f>
        <v>2011 Audi RS5</v>
      </c>
    </row>
    <row r="59" spans="1:27" ht="12.95" customHeight="1">
      <c r="A59" s="394">
        <v>2000</v>
      </c>
      <c r="B59" s="394" t="s">
        <v>91</v>
      </c>
      <c r="C59" s="394" t="s">
        <v>96</v>
      </c>
      <c r="D59" s="395">
        <v>12000</v>
      </c>
      <c r="E59" s="394" t="s">
        <v>1087</v>
      </c>
      <c r="F59" s="394">
        <v>415</v>
      </c>
      <c r="G59" s="396">
        <v>5.5</v>
      </c>
      <c r="H59" s="396">
        <v>4.7</v>
      </c>
      <c r="I59" s="396">
        <v>5.9</v>
      </c>
      <c r="J59" s="396">
        <v>6.8</v>
      </c>
      <c r="K59" s="396">
        <v>4.5999999999999996</v>
      </c>
      <c r="L59" s="394" t="s">
        <v>1093</v>
      </c>
      <c r="M59" s="394"/>
      <c r="N59" s="389">
        <f>AVERAGE(H59,I59,K59)</f>
        <v>5.0666666666666673</v>
      </c>
      <c r="O59" s="397">
        <v>3384</v>
      </c>
      <c r="P59" s="398">
        <v>1848</v>
      </c>
      <c r="Q59" s="397">
        <v>1418</v>
      </c>
      <c r="R59" s="397">
        <v>2707</v>
      </c>
      <c r="S59" s="397">
        <v>1498</v>
      </c>
      <c r="T59" s="397">
        <v>1490</v>
      </c>
      <c r="U59" s="397">
        <v>225</v>
      </c>
      <c r="V59" s="397">
        <v>225</v>
      </c>
      <c r="W59" s="397">
        <v>321</v>
      </c>
      <c r="X59" s="397">
        <v>256</v>
      </c>
      <c r="Y59" s="399">
        <f>S59-('FMTC Main'!$E$22-U59)</f>
        <v>1723</v>
      </c>
      <c r="Z59" s="399">
        <f>T59-('FMTC Main'!$E$27-V59)</f>
        <v>1715</v>
      </c>
      <c r="AA59" s="400" t="str">
        <f>A59&amp;" "&amp;B59&amp;" "&amp;C59</f>
        <v>2000 Audi S4</v>
      </c>
    </row>
    <row r="60" spans="1:27" ht="12.95" customHeight="1">
      <c r="A60" s="394">
        <v>2004</v>
      </c>
      <c r="B60" s="394" t="s">
        <v>91</v>
      </c>
      <c r="C60" s="394" t="s">
        <v>96</v>
      </c>
      <c r="D60" s="395">
        <v>18000</v>
      </c>
      <c r="E60" s="394" t="s">
        <v>1088</v>
      </c>
      <c r="F60" s="394">
        <v>459</v>
      </c>
      <c r="G60" s="396">
        <v>7.1</v>
      </c>
      <c r="H60" s="396">
        <v>4.7</v>
      </c>
      <c r="I60" s="396">
        <v>6.5</v>
      </c>
      <c r="J60" s="396">
        <v>7.5</v>
      </c>
      <c r="K60" s="396">
        <v>4.5999999999999996</v>
      </c>
      <c r="L60" s="394" t="s">
        <v>1093</v>
      </c>
      <c r="M60" s="394"/>
      <c r="N60" s="389">
        <f>AVERAGE(H60,I60,K60)</f>
        <v>5.2666666666666666</v>
      </c>
      <c r="O60" s="397">
        <v>3825</v>
      </c>
      <c r="P60" s="398">
        <v>1772</v>
      </c>
      <c r="Q60" s="397">
        <v>1427</v>
      </c>
      <c r="R60" s="397">
        <v>2468</v>
      </c>
      <c r="S60" s="397">
        <v>1522</v>
      </c>
      <c r="T60" s="397">
        <v>1522</v>
      </c>
      <c r="U60" s="397">
        <v>235</v>
      </c>
      <c r="V60" s="397">
        <v>235</v>
      </c>
      <c r="W60" s="397">
        <v>345</v>
      </c>
      <c r="X60" s="397">
        <v>302</v>
      </c>
      <c r="Y60" s="399">
        <f>S60-('FMTC Main'!$E$22-U60)</f>
        <v>1757</v>
      </c>
      <c r="Z60" s="399">
        <f>T60-('FMTC Main'!$E$27-V60)</f>
        <v>1757</v>
      </c>
      <c r="AA60" s="400" t="str">
        <f>A60&amp;" "&amp;B60&amp;" "&amp;C60</f>
        <v>2004 Audi S4</v>
      </c>
    </row>
    <row r="61" spans="1:27" ht="12.95" customHeight="1">
      <c r="A61" s="394">
        <v>2010</v>
      </c>
      <c r="B61" s="394" t="s">
        <v>91</v>
      </c>
      <c r="C61" s="394" t="s">
        <v>96</v>
      </c>
      <c r="D61" s="395">
        <v>46000</v>
      </c>
      <c r="E61" s="394" t="s">
        <v>349</v>
      </c>
      <c r="F61" s="394">
        <v>509</v>
      </c>
      <c r="G61" s="396">
        <v>7.3</v>
      </c>
      <c r="H61" s="396">
        <v>5.2</v>
      </c>
      <c r="I61" s="396">
        <v>6.7</v>
      </c>
      <c r="J61" s="396">
        <v>7.6</v>
      </c>
      <c r="K61" s="396">
        <v>5.0999999999999996</v>
      </c>
      <c r="L61" s="394" t="s">
        <v>1093</v>
      </c>
      <c r="M61" s="394"/>
      <c r="N61" s="389">
        <f>AVERAGE(H61,I61,K61)</f>
        <v>5.666666666666667</v>
      </c>
      <c r="O61" s="397">
        <v>3638</v>
      </c>
      <c r="P61" s="398">
        <v>1826</v>
      </c>
      <c r="Q61" s="397">
        <v>1407</v>
      </c>
      <c r="R61" s="397">
        <v>2811</v>
      </c>
      <c r="S61" s="397">
        <v>1551</v>
      </c>
      <c r="T61" s="397">
        <v>1539</v>
      </c>
      <c r="U61" s="397">
        <v>245</v>
      </c>
      <c r="V61" s="397">
        <v>245</v>
      </c>
      <c r="W61" s="397">
        <v>345</v>
      </c>
      <c r="X61" s="397">
        <v>330</v>
      </c>
      <c r="Y61" s="399">
        <f>S61-('FMTC Main'!$E$22-U61)</f>
        <v>1796</v>
      </c>
      <c r="Z61" s="399">
        <f>T61-('FMTC Main'!$E$27-V61)</f>
        <v>1784</v>
      </c>
      <c r="AA61" s="400" t="str">
        <f>A61&amp;" "&amp;B61&amp;" "&amp;C61</f>
        <v>2010 Audi S4</v>
      </c>
    </row>
    <row r="62" spans="1:27" ht="12.95" customHeight="1">
      <c r="A62" s="394">
        <v>2007</v>
      </c>
      <c r="B62" s="394" t="s">
        <v>91</v>
      </c>
      <c r="C62" s="394" t="s">
        <v>97</v>
      </c>
      <c r="D62" s="395">
        <v>42000</v>
      </c>
      <c r="E62" s="394" t="s">
        <v>349</v>
      </c>
      <c r="F62" s="394">
        <v>502</v>
      </c>
      <c r="G62" s="396">
        <v>7.2</v>
      </c>
      <c r="H62" s="396">
        <v>5.0999999999999996</v>
      </c>
      <c r="I62" s="396">
        <v>6.7</v>
      </c>
      <c r="J62" s="396">
        <v>7.7</v>
      </c>
      <c r="K62" s="396">
        <v>5</v>
      </c>
      <c r="L62" s="394" t="s">
        <v>1093</v>
      </c>
      <c r="M62" s="394"/>
      <c r="N62" s="389">
        <f>AVERAGE(H62,I62,K62)</f>
        <v>5.6000000000000005</v>
      </c>
      <c r="O62" s="397">
        <v>3795</v>
      </c>
      <c r="P62" s="398">
        <v>1854</v>
      </c>
      <c r="Q62" s="397">
        <v>1369</v>
      </c>
      <c r="R62" s="397">
        <v>2750</v>
      </c>
      <c r="S62" s="397">
        <v>1595</v>
      </c>
      <c r="T62" s="397">
        <v>1579</v>
      </c>
      <c r="U62" s="397">
        <v>245</v>
      </c>
      <c r="V62" s="397">
        <v>245</v>
      </c>
      <c r="W62" s="397">
        <v>345</v>
      </c>
      <c r="X62" s="397">
        <v>330</v>
      </c>
      <c r="Y62" s="399">
        <f>S62-('FMTC Main'!$E$22-U62)</f>
        <v>1840</v>
      </c>
      <c r="Z62" s="399">
        <f>T62-('FMTC Main'!$E$27-V62)</f>
        <v>1824</v>
      </c>
      <c r="AA62" s="400" t="str">
        <f>A62&amp;" "&amp;B62&amp;" "&amp;C62</f>
        <v>2007 Audi S5</v>
      </c>
    </row>
    <row r="63" spans="1:27" ht="12.95" customHeight="1">
      <c r="A63" s="394">
        <v>1983</v>
      </c>
      <c r="B63" s="394" t="s">
        <v>91</v>
      </c>
      <c r="C63" s="394" t="s">
        <v>98</v>
      </c>
      <c r="D63" s="395">
        <v>120000</v>
      </c>
      <c r="E63" s="394" t="s">
        <v>1088</v>
      </c>
      <c r="F63" s="394">
        <v>462</v>
      </c>
      <c r="G63" s="396">
        <v>5.4</v>
      </c>
      <c r="H63" s="396">
        <v>4.5</v>
      </c>
      <c r="I63" s="396">
        <v>6.7</v>
      </c>
      <c r="J63" s="396">
        <v>7.8</v>
      </c>
      <c r="K63" s="396">
        <v>4.4000000000000004</v>
      </c>
      <c r="L63" s="394" t="s">
        <v>1093</v>
      </c>
      <c r="M63" s="394"/>
      <c r="N63" s="389">
        <f>AVERAGE(H63,I63,K63)</f>
        <v>5.2</v>
      </c>
      <c r="O63" s="397">
        <v>2807</v>
      </c>
      <c r="P63" s="398">
        <v>1800</v>
      </c>
      <c r="Q63" s="397">
        <v>1340</v>
      </c>
      <c r="R63" s="397">
        <v>2200</v>
      </c>
      <c r="S63" s="397">
        <v>1520</v>
      </c>
      <c r="T63" s="397">
        <v>1490</v>
      </c>
      <c r="U63" s="397">
        <v>235</v>
      </c>
      <c r="V63" s="397">
        <v>235</v>
      </c>
      <c r="W63" s="397">
        <v>330</v>
      </c>
      <c r="X63" s="397">
        <v>311</v>
      </c>
      <c r="Y63" s="399">
        <f>S63-('FMTC Main'!$E$22-U63)</f>
        <v>1755</v>
      </c>
      <c r="Z63" s="399">
        <f>T63-('FMTC Main'!$E$27-V63)</f>
        <v>1725</v>
      </c>
      <c r="AA63" s="400" t="str">
        <f>A63&amp;" "&amp;B63&amp;" "&amp;C63</f>
        <v>1983 Audi Sport Quattro</v>
      </c>
    </row>
    <row r="64" spans="1:27" ht="12.95" customHeight="1">
      <c r="A64" s="394">
        <v>2004</v>
      </c>
      <c r="B64" s="394" t="s">
        <v>91</v>
      </c>
      <c r="C64" s="394" t="s">
        <v>99</v>
      </c>
      <c r="D64" s="395">
        <v>16000</v>
      </c>
      <c r="E64" s="394" t="s">
        <v>1087</v>
      </c>
      <c r="F64" s="394">
        <v>421</v>
      </c>
      <c r="G64" s="396">
        <v>5.5</v>
      </c>
      <c r="H64" s="396">
        <v>5.0999999999999996</v>
      </c>
      <c r="I64" s="396">
        <v>5.7</v>
      </c>
      <c r="J64" s="396">
        <v>6.4</v>
      </c>
      <c r="K64" s="396">
        <v>5</v>
      </c>
      <c r="L64" s="394" t="s">
        <v>1093</v>
      </c>
      <c r="M64" s="394"/>
      <c r="N64" s="389">
        <f>AVERAGE(H64,I64,K64)</f>
        <v>5.2666666666666666</v>
      </c>
      <c r="O64" s="397">
        <v>3505</v>
      </c>
      <c r="P64" s="398">
        <v>1841</v>
      </c>
      <c r="Q64" s="397">
        <v>1351</v>
      </c>
      <c r="R64" s="397">
        <v>2468</v>
      </c>
      <c r="S64" s="397">
        <v>1572</v>
      </c>
      <c r="T64" s="397">
        <v>1572</v>
      </c>
      <c r="U64" s="397">
        <v>225</v>
      </c>
      <c r="V64" s="397">
        <v>225</v>
      </c>
      <c r="W64" s="397">
        <v>312</v>
      </c>
      <c r="X64" s="397">
        <v>287</v>
      </c>
      <c r="Y64" s="399">
        <f>S64-('FMTC Main'!$E$22-U64)</f>
        <v>1797</v>
      </c>
      <c r="Z64" s="399">
        <f>T64-('FMTC Main'!$E$27-V64)</f>
        <v>1797</v>
      </c>
      <c r="AA64" s="400" t="str">
        <f>A64&amp;" "&amp;B64&amp;" "&amp;C64</f>
        <v>2004 Audi TT Coupe 3.2 quattro</v>
      </c>
    </row>
    <row r="65" spans="1:27" ht="12.95" customHeight="1">
      <c r="A65" s="394">
        <v>2007</v>
      </c>
      <c r="B65" s="394" t="s">
        <v>91</v>
      </c>
      <c r="C65" s="394" t="s">
        <v>100</v>
      </c>
      <c r="D65" s="395">
        <v>32000</v>
      </c>
      <c r="E65" s="394" t="s">
        <v>1088</v>
      </c>
      <c r="F65" s="394">
        <v>467</v>
      </c>
      <c r="G65" s="396">
        <v>5.7</v>
      </c>
      <c r="H65" s="396">
        <v>5.2</v>
      </c>
      <c r="I65" s="396">
        <v>6.3</v>
      </c>
      <c r="J65" s="396">
        <v>7.1</v>
      </c>
      <c r="K65" s="396">
        <v>5.0999999999999996</v>
      </c>
      <c r="L65" s="394" t="s">
        <v>1093</v>
      </c>
      <c r="M65" s="394"/>
      <c r="N65" s="389">
        <f>AVERAGE(H65,I65,K65)</f>
        <v>5.5333333333333341</v>
      </c>
      <c r="O65" s="397">
        <v>3109</v>
      </c>
      <c r="P65" s="398">
        <v>1842</v>
      </c>
      <c r="Q65" s="397">
        <v>1352</v>
      </c>
      <c r="R65" s="397">
        <v>2468</v>
      </c>
      <c r="S65" s="397">
        <v>1572</v>
      </c>
      <c r="T65" s="397">
        <v>1558</v>
      </c>
      <c r="U65" s="397">
        <v>255</v>
      </c>
      <c r="V65" s="397">
        <v>255</v>
      </c>
      <c r="W65" s="397">
        <v>340</v>
      </c>
      <c r="X65" s="397">
        <v>310</v>
      </c>
      <c r="Y65" s="399">
        <f>S65-('FMTC Main'!$E$22-U65)</f>
        <v>1827</v>
      </c>
      <c r="Z65" s="399">
        <f>T65-('FMTC Main'!$E$27-V65)</f>
        <v>1813</v>
      </c>
      <c r="AA65" s="400" t="str">
        <f>A65&amp;" "&amp;B65&amp;" "&amp;C65</f>
        <v>2007 Audi TT Coupe S-Line</v>
      </c>
    </row>
    <row r="66" spans="1:27" ht="12.95" customHeight="1">
      <c r="A66" s="394">
        <v>2010</v>
      </c>
      <c r="B66" s="394" t="s">
        <v>91</v>
      </c>
      <c r="C66" s="394" t="s">
        <v>797</v>
      </c>
      <c r="D66" s="395">
        <v>48000</v>
      </c>
      <c r="E66" s="394" t="s">
        <v>349</v>
      </c>
      <c r="F66" s="394">
        <v>533</v>
      </c>
      <c r="G66" s="396">
        <v>7.1</v>
      </c>
      <c r="H66" s="396">
        <v>5.2</v>
      </c>
      <c r="I66" s="396">
        <v>7.1</v>
      </c>
      <c r="J66" s="396">
        <v>8.1999999999999993</v>
      </c>
      <c r="K66" s="396">
        <v>5</v>
      </c>
      <c r="L66" s="394" t="s">
        <v>1093</v>
      </c>
      <c r="M66" s="394"/>
      <c r="N66" s="389">
        <f>AVERAGE(H66,I66,K66)</f>
        <v>5.7666666666666666</v>
      </c>
      <c r="O66" s="397">
        <v>3294</v>
      </c>
      <c r="P66" s="398">
        <v>1841</v>
      </c>
      <c r="Q66" s="397">
        <v>1351</v>
      </c>
      <c r="R66" s="397">
        <v>2468</v>
      </c>
      <c r="S66" s="397">
        <v>1572</v>
      </c>
      <c r="T66" s="397">
        <v>1557</v>
      </c>
      <c r="U66" s="397">
        <v>255</v>
      </c>
      <c r="V66" s="397">
        <v>255</v>
      </c>
      <c r="W66" s="397">
        <v>312</v>
      </c>
      <c r="X66" s="397">
        <v>287</v>
      </c>
      <c r="Y66" s="399">
        <f>S66-('FMTC Main'!$E$22-U66)</f>
        <v>1827</v>
      </c>
      <c r="Z66" s="399">
        <f>T66-('FMTC Main'!$E$27-V66)</f>
        <v>1812</v>
      </c>
      <c r="AA66" s="400" t="str">
        <f>A66&amp;" "&amp;B66&amp;" "&amp;C66</f>
        <v>2010 Audi TT-RS Coupe</v>
      </c>
    </row>
    <row r="67" spans="1:27" ht="12.95" customHeight="1">
      <c r="A67" s="394">
        <v>2003</v>
      </c>
      <c r="B67" s="394" t="s">
        <v>101</v>
      </c>
      <c r="C67" s="394" t="s">
        <v>307</v>
      </c>
      <c r="D67" s="395">
        <v>2200000</v>
      </c>
      <c r="E67" s="394" t="s">
        <v>1086</v>
      </c>
      <c r="F67" s="394">
        <v>971</v>
      </c>
      <c r="G67" s="396">
        <v>9.6</v>
      </c>
      <c r="H67" s="396">
        <v>9.5</v>
      </c>
      <c r="I67" s="396">
        <v>9.6</v>
      </c>
      <c r="J67" s="396">
        <v>8.4</v>
      </c>
      <c r="K67" s="396">
        <v>9.5</v>
      </c>
      <c r="L67" s="394" t="s">
        <v>1076</v>
      </c>
      <c r="M67" s="394"/>
      <c r="N67" s="389">
        <f>AVERAGE(H67,I67,K67)</f>
        <v>9.5333333333333332</v>
      </c>
      <c r="O67" s="397">
        <v>2024</v>
      </c>
      <c r="P67" s="398">
        <v>1990</v>
      </c>
      <c r="Q67" s="397">
        <v>990</v>
      </c>
      <c r="R67" s="397">
        <v>2735</v>
      </c>
      <c r="S67" s="397">
        <v>1700</v>
      </c>
      <c r="T67" s="397">
        <v>1680</v>
      </c>
      <c r="U67" s="397">
        <v>290</v>
      </c>
      <c r="V67" s="397">
        <v>310</v>
      </c>
      <c r="W67" s="397">
        <v>376</v>
      </c>
      <c r="X67" s="397">
        <v>355.6</v>
      </c>
      <c r="Y67" s="399">
        <f>S67-('FMTC Main'!$E$22-U67)</f>
        <v>1990</v>
      </c>
      <c r="Z67" s="399">
        <f>T67-('FMTC Main'!$E$27-V67)</f>
        <v>1990</v>
      </c>
      <c r="AA67" s="400" t="str">
        <f>A67&amp;" "&amp;B67&amp;" "&amp;C67</f>
        <v>2003 Bentley #7 Team Bentley Speed 8</v>
      </c>
    </row>
    <row r="68" spans="1:27" ht="12.95" customHeight="1">
      <c r="A68" s="394">
        <v>1931</v>
      </c>
      <c r="B68" s="394" t="s">
        <v>101</v>
      </c>
      <c r="C68" s="394" t="s">
        <v>803</v>
      </c>
      <c r="D68" s="395"/>
      <c r="E68" s="394"/>
      <c r="F68" s="394"/>
      <c r="G68" s="396"/>
      <c r="H68" s="396"/>
      <c r="I68" s="396"/>
      <c r="J68" s="396"/>
      <c r="K68" s="396"/>
      <c r="L68" s="394" t="s">
        <v>1076</v>
      </c>
      <c r="M68" s="394" t="s">
        <v>1089</v>
      </c>
      <c r="N68" s="389" t="e">
        <f>AVERAGE(H68,I68,K68)</f>
        <v>#DIV/0!</v>
      </c>
      <c r="O68" s="408"/>
      <c r="P68" s="398">
        <v>1740</v>
      </c>
      <c r="Q68" s="401"/>
      <c r="R68" s="398">
        <v>3962</v>
      </c>
      <c r="S68" s="397">
        <v>1422</v>
      </c>
      <c r="T68" s="397">
        <v>1422</v>
      </c>
      <c r="U68" s="401"/>
      <c r="V68" s="401"/>
      <c r="W68" s="401"/>
      <c r="X68" s="401"/>
      <c r="Y68" s="399">
        <f>S68-('FMTC Main'!$E$22-U68)</f>
        <v>1422</v>
      </c>
      <c r="Z68" s="399">
        <f>T68-('FMTC Main'!$E$27-V68)</f>
        <v>1422</v>
      </c>
      <c r="AA68" s="400" t="str">
        <f>A68&amp;" "&amp;B68&amp;" "&amp;C68</f>
        <v>1931 Bentley 8 Litre</v>
      </c>
    </row>
    <row r="69" spans="1:27" ht="12.95" customHeight="1">
      <c r="A69" s="394">
        <v>2004</v>
      </c>
      <c r="B69" s="394" t="s">
        <v>101</v>
      </c>
      <c r="C69" s="394" t="s">
        <v>102</v>
      </c>
      <c r="D69" s="395">
        <v>190000</v>
      </c>
      <c r="E69" s="394" t="s">
        <v>349</v>
      </c>
      <c r="F69" s="394">
        <v>501</v>
      </c>
      <c r="G69" s="396">
        <v>8.4</v>
      </c>
      <c r="H69" s="396">
        <v>4.5999999999999996</v>
      </c>
      <c r="I69" s="396">
        <v>6.8</v>
      </c>
      <c r="J69" s="396">
        <v>7.9</v>
      </c>
      <c r="K69" s="396">
        <v>4.5</v>
      </c>
      <c r="L69" s="394" t="s">
        <v>1076</v>
      </c>
      <c r="M69" s="394"/>
      <c r="N69" s="389">
        <f>AVERAGE(H69,I69,K69)</f>
        <v>5.3</v>
      </c>
      <c r="O69" s="397">
        <v>5350</v>
      </c>
      <c r="P69" s="398">
        <v>1918</v>
      </c>
      <c r="Q69" s="397">
        <v>1389</v>
      </c>
      <c r="R69" s="397">
        <v>2746</v>
      </c>
      <c r="S69" s="397">
        <v>1623</v>
      </c>
      <c r="T69" s="397">
        <v>1608</v>
      </c>
      <c r="U69" s="397">
        <v>275</v>
      </c>
      <c r="V69" s="397">
        <v>275</v>
      </c>
      <c r="W69" s="397">
        <v>405</v>
      </c>
      <c r="X69" s="397">
        <v>335</v>
      </c>
      <c r="Y69" s="399">
        <f>S69-('FMTC Main'!$E$22-U69)</f>
        <v>1898</v>
      </c>
      <c r="Z69" s="399">
        <f>T69-('FMTC Main'!$E$27-V69)</f>
        <v>1883</v>
      </c>
      <c r="AA69" s="400" t="str">
        <f>A69&amp;" "&amp;B69&amp;" "&amp;C69</f>
        <v>2004 Bentley Continental GT</v>
      </c>
    </row>
    <row r="70" spans="1:27" ht="12.95" customHeight="1">
      <c r="A70" s="394">
        <v>2010</v>
      </c>
      <c r="B70" s="394" t="s">
        <v>101</v>
      </c>
      <c r="C70" s="394" t="s">
        <v>679</v>
      </c>
      <c r="D70" s="395">
        <v>250000</v>
      </c>
      <c r="E70" s="394" t="s">
        <v>349</v>
      </c>
      <c r="F70" s="394">
        <v>567</v>
      </c>
      <c r="G70" s="396">
        <v>9.9</v>
      </c>
      <c r="H70" s="396">
        <v>4.8</v>
      </c>
      <c r="I70" s="396">
        <v>7.7</v>
      </c>
      <c r="J70" s="396">
        <v>9.1</v>
      </c>
      <c r="K70" s="396">
        <v>4.8</v>
      </c>
      <c r="L70" s="394" t="s">
        <v>1076</v>
      </c>
      <c r="M70" s="394"/>
      <c r="N70" s="389">
        <f>AVERAGE(H70,I70,K70)</f>
        <v>5.7666666666666666</v>
      </c>
      <c r="O70" s="397">
        <v>4940</v>
      </c>
      <c r="P70" s="398">
        <v>1945</v>
      </c>
      <c r="Q70" s="397">
        <v>1380</v>
      </c>
      <c r="R70" s="397">
        <v>2745</v>
      </c>
      <c r="S70" s="397">
        <v>1623</v>
      </c>
      <c r="T70" s="397">
        <v>1657</v>
      </c>
      <c r="U70" s="397">
        <v>275</v>
      </c>
      <c r="V70" s="397">
        <v>275</v>
      </c>
      <c r="W70" s="397">
        <v>420</v>
      </c>
      <c r="X70" s="397">
        <v>356</v>
      </c>
      <c r="Y70" s="399">
        <f>S70-('FMTC Main'!$E$22-U70)</f>
        <v>1898</v>
      </c>
      <c r="Z70" s="399">
        <f>T70-('FMTC Main'!$E$27-V70)</f>
        <v>1932</v>
      </c>
      <c r="AA70" s="400" t="str">
        <f>A70&amp;" "&amp;B70&amp;" "&amp;C70</f>
        <v>2010 Bentley Continental Supersports</v>
      </c>
    </row>
    <row r="71" spans="1:27" ht="12.95" customHeight="1">
      <c r="A71" s="394">
        <v>2010</v>
      </c>
      <c r="B71" s="394" t="s">
        <v>101</v>
      </c>
      <c r="C71" s="394" t="s">
        <v>804</v>
      </c>
      <c r="D71" s="395"/>
      <c r="E71" s="394"/>
      <c r="F71" s="394"/>
      <c r="G71" s="396"/>
      <c r="H71" s="396"/>
      <c r="I71" s="396"/>
      <c r="J71" s="396"/>
      <c r="K71" s="396"/>
      <c r="L71" s="394" t="s">
        <v>1076</v>
      </c>
      <c r="M71" s="394"/>
      <c r="N71" s="389" t="e">
        <f>AVERAGE(H71,I71,K71)</f>
        <v>#DIV/0!</v>
      </c>
      <c r="O71" s="397">
        <v>2320</v>
      </c>
      <c r="P71" s="398">
        <v>1944</v>
      </c>
      <c r="Q71" s="397">
        <v>1404</v>
      </c>
      <c r="R71" s="397">
        <v>2746</v>
      </c>
      <c r="S71" s="397">
        <v>1623</v>
      </c>
      <c r="T71" s="397">
        <v>1608</v>
      </c>
      <c r="U71" s="397">
        <v>275</v>
      </c>
      <c r="V71" s="397">
        <v>275</v>
      </c>
      <c r="W71" s="397">
        <v>405</v>
      </c>
      <c r="X71" s="397">
        <v>335</v>
      </c>
      <c r="Y71" s="399">
        <f>S71-('FMTC Main'!$E$22-U71)</f>
        <v>1898</v>
      </c>
      <c r="Z71" s="399">
        <f>T71-('FMTC Main'!$E$27-V71)</f>
        <v>1883</v>
      </c>
      <c r="AA71" s="400" t="str">
        <f>A71&amp;" "&amp;B71&amp;" "&amp;C71</f>
        <v>2010 Bentley Platinum Motorsports Continental GT</v>
      </c>
    </row>
    <row r="72" spans="1:27" ht="12.95" customHeight="1">
      <c r="A72" s="394">
        <v>2010</v>
      </c>
      <c r="B72" s="394" t="s">
        <v>680</v>
      </c>
      <c r="C72" s="394" t="s">
        <v>681</v>
      </c>
      <c r="D72" s="395">
        <v>1000000</v>
      </c>
      <c r="E72" s="394" t="s">
        <v>1092</v>
      </c>
      <c r="F72" s="394">
        <v>645</v>
      </c>
      <c r="G72" s="396">
        <v>10</v>
      </c>
      <c r="H72" s="396">
        <v>6</v>
      </c>
      <c r="I72" s="396">
        <v>8.5</v>
      </c>
      <c r="J72" s="396">
        <v>7.6</v>
      </c>
      <c r="K72" s="396">
        <v>5.8</v>
      </c>
      <c r="L72" s="409" t="s">
        <v>1084</v>
      </c>
      <c r="M72" s="394"/>
      <c r="N72" s="389">
        <f>AVERAGE(H72,I72,K72)</f>
        <v>6.7666666666666666</v>
      </c>
      <c r="O72" s="397">
        <v>3149</v>
      </c>
      <c r="P72" s="398">
        <v>1928</v>
      </c>
      <c r="Q72" s="397">
        <v>1245</v>
      </c>
      <c r="R72" s="397">
        <v>2685</v>
      </c>
      <c r="S72" s="397">
        <v>1613</v>
      </c>
      <c r="T72" s="397">
        <v>1587</v>
      </c>
      <c r="U72" s="397">
        <v>285</v>
      </c>
      <c r="V72" s="397">
        <v>335</v>
      </c>
      <c r="W72" s="397">
        <v>394</v>
      </c>
      <c r="X72" s="397">
        <v>380</v>
      </c>
      <c r="Y72" s="399">
        <f>S72-('FMTC Main'!$E$22-U72)</f>
        <v>1898</v>
      </c>
      <c r="Z72" s="399">
        <f>T72-('FMTC Main'!$E$27-V72)</f>
        <v>1922</v>
      </c>
      <c r="AA72" s="400" t="str">
        <f>A72&amp;" "&amp;B72&amp;" "&amp;C72</f>
        <v>2010 Bertone Mantide</v>
      </c>
    </row>
    <row r="73" spans="1:27" ht="12.95" customHeight="1">
      <c r="A73" s="394">
        <v>1999</v>
      </c>
      <c r="B73" s="394" t="s">
        <v>805</v>
      </c>
      <c r="C73" s="394" t="s">
        <v>809</v>
      </c>
      <c r="D73" s="395">
        <v>2200000</v>
      </c>
      <c r="E73" s="394" t="s">
        <v>1086</v>
      </c>
      <c r="F73" s="394">
        <v>971</v>
      </c>
      <c r="G73" s="396">
        <v>9.1</v>
      </c>
      <c r="H73" s="396">
        <v>9.9</v>
      </c>
      <c r="I73" s="396">
        <v>9.8000000000000007</v>
      </c>
      <c r="J73" s="396">
        <v>8.6</v>
      </c>
      <c r="K73" s="396">
        <v>9.8000000000000007</v>
      </c>
      <c r="L73" s="394" t="s">
        <v>1093</v>
      </c>
      <c r="M73" s="394"/>
      <c r="N73" s="389">
        <f>AVERAGE(H73,I73,K73)</f>
        <v>9.8333333333333339</v>
      </c>
      <c r="O73" s="397">
        <v>1984</v>
      </c>
      <c r="P73" s="398">
        <v>2000</v>
      </c>
      <c r="Q73" s="397">
        <v>1020</v>
      </c>
      <c r="R73" s="397">
        <v>2790</v>
      </c>
      <c r="S73" s="397">
        <v>1641</v>
      </c>
      <c r="T73" s="397">
        <v>1596</v>
      </c>
      <c r="U73" s="397">
        <v>330</v>
      </c>
      <c r="V73" s="397">
        <v>360</v>
      </c>
      <c r="W73" s="397">
        <v>380</v>
      </c>
      <c r="X73" s="397">
        <v>355</v>
      </c>
      <c r="Y73" s="399">
        <f>S73-('FMTC Main'!$E$22-U73)</f>
        <v>1971</v>
      </c>
      <c r="Z73" s="399">
        <f>T73-('FMTC Main'!$E$27-V73)</f>
        <v>1956</v>
      </c>
      <c r="AA73" s="400" t="str">
        <f>A73&amp;" "&amp;B73&amp;" "&amp;C73</f>
        <v>1999 BMW #15 V12 LMR</v>
      </c>
    </row>
    <row r="74" spans="1:27" ht="12.95" customHeight="1">
      <c r="A74" s="394">
        <v>2005</v>
      </c>
      <c r="B74" s="394" t="s">
        <v>805</v>
      </c>
      <c r="C74" s="394" t="s">
        <v>814</v>
      </c>
      <c r="D74" s="395">
        <v>2200000</v>
      </c>
      <c r="E74" s="394" t="s">
        <v>1094</v>
      </c>
      <c r="F74" s="394">
        <v>735</v>
      </c>
      <c r="G74" s="396">
        <v>6.9</v>
      </c>
      <c r="H74" s="396">
        <v>7.5</v>
      </c>
      <c r="I74" s="396">
        <v>8.9</v>
      </c>
      <c r="J74" s="396">
        <v>7.8</v>
      </c>
      <c r="K74" s="396">
        <v>7.5</v>
      </c>
      <c r="L74" s="394" t="s">
        <v>1093</v>
      </c>
      <c r="M74" s="394"/>
      <c r="N74" s="389">
        <f>AVERAGE(H74,I74,K74)</f>
        <v>7.9666666666666659</v>
      </c>
      <c r="O74" s="397">
        <v>2756</v>
      </c>
      <c r="P74" s="397">
        <v>1899</v>
      </c>
      <c r="Q74" s="397">
        <v>1318</v>
      </c>
      <c r="R74" s="397">
        <v>2731</v>
      </c>
      <c r="S74" s="397">
        <v>1608</v>
      </c>
      <c r="T74" s="397">
        <v>1603</v>
      </c>
      <c r="U74" s="397">
        <v>270</v>
      </c>
      <c r="V74" s="397">
        <v>280</v>
      </c>
      <c r="W74" s="397">
        <v>381</v>
      </c>
      <c r="X74" s="397">
        <v>312</v>
      </c>
      <c r="Y74" s="399">
        <f>S74-('FMTC Main'!$E$22-U74)</f>
        <v>1878</v>
      </c>
      <c r="Z74" s="399">
        <f>T74-('FMTC Main'!$E$27-V74)</f>
        <v>1883</v>
      </c>
      <c r="AA74" s="400" t="str">
        <f>A74&amp;" "&amp;B74&amp;" "&amp;C74</f>
        <v>2005 BMW #2 Team BMW Motorsport M3-GTR</v>
      </c>
    </row>
    <row r="75" spans="1:27" ht="12.95" customHeight="1">
      <c r="A75" s="394">
        <v>2001</v>
      </c>
      <c r="B75" s="394" t="s">
        <v>805</v>
      </c>
      <c r="C75" s="394" t="s">
        <v>811</v>
      </c>
      <c r="D75" s="395">
        <v>900000</v>
      </c>
      <c r="E75" s="394" t="s">
        <v>1094</v>
      </c>
      <c r="F75" s="394">
        <v>735</v>
      </c>
      <c r="G75" s="396">
        <v>6.9</v>
      </c>
      <c r="H75" s="396">
        <v>7.5</v>
      </c>
      <c r="I75" s="396">
        <v>8.9</v>
      </c>
      <c r="J75" s="396">
        <v>7.8</v>
      </c>
      <c r="K75" s="396">
        <v>7.5</v>
      </c>
      <c r="L75" s="394" t="s">
        <v>1093</v>
      </c>
      <c r="M75" s="394"/>
      <c r="N75" s="389">
        <f>AVERAGE(H75,I75,K75)</f>
        <v>7.9666666666666659</v>
      </c>
      <c r="O75" s="397">
        <v>2756</v>
      </c>
      <c r="P75" s="398">
        <v>1899</v>
      </c>
      <c r="Q75" s="397">
        <v>1318</v>
      </c>
      <c r="R75" s="397">
        <v>2731</v>
      </c>
      <c r="S75" s="397">
        <v>1608</v>
      </c>
      <c r="T75" s="397">
        <v>1603</v>
      </c>
      <c r="U75" s="397">
        <v>270</v>
      </c>
      <c r="V75" s="397">
        <v>280</v>
      </c>
      <c r="W75" s="397">
        <v>381</v>
      </c>
      <c r="X75" s="397">
        <v>312</v>
      </c>
      <c r="Y75" s="399">
        <f>S75-('FMTC Main'!$E$22-U75)</f>
        <v>1878</v>
      </c>
      <c r="Z75" s="399">
        <f>T75-('FMTC Main'!$E$27-V75)</f>
        <v>1883</v>
      </c>
      <c r="AA75" s="400" t="str">
        <f>A75&amp;" "&amp;B75&amp;" "&amp;C75</f>
        <v>2001 BMW #6 Prototype Technology Group M3 GTR</v>
      </c>
    </row>
    <row r="76" spans="1:27" ht="12.95" customHeight="1">
      <c r="A76" s="394">
        <v>2010</v>
      </c>
      <c r="B76" s="394" t="s">
        <v>805</v>
      </c>
      <c r="C76" s="394" t="s">
        <v>818</v>
      </c>
      <c r="D76" s="395">
        <v>900000</v>
      </c>
      <c r="E76" s="394" t="s">
        <v>1094</v>
      </c>
      <c r="F76" s="394">
        <v>756</v>
      </c>
      <c r="G76" s="396">
        <v>6.9</v>
      </c>
      <c r="H76" s="396">
        <v>7.7</v>
      </c>
      <c r="I76" s="396">
        <v>8.9</v>
      </c>
      <c r="J76" s="396">
        <v>7.9</v>
      </c>
      <c r="K76" s="396">
        <v>7.7</v>
      </c>
      <c r="L76" s="394" t="s">
        <v>1093</v>
      </c>
      <c r="M76" s="394"/>
      <c r="N76" s="389">
        <f>AVERAGE(H76,I76,K76)</f>
        <v>8.1</v>
      </c>
      <c r="O76" s="397">
        <v>2701</v>
      </c>
      <c r="P76" s="398">
        <v>2000</v>
      </c>
      <c r="Q76" s="397">
        <v>1333</v>
      </c>
      <c r="R76" s="397">
        <v>2758</v>
      </c>
      <c r="S76" s="397">
        <v>1538</v>
      </c>
      <c r="T76" s="397">
        <v>1542</v>
      </c>
      <c r="U76" s="397">
        <v>300</v>
      </c>
      <c r="V76" s="397">
        <v>310</v>
      </c>
      <c r="W76" s="397">
        <v>378</v>
      </c>
      <c r="X76" s="397">
        <v>355</v>
      </c>
      <c r="Y76" s="399">
        <f>S76-('FMTC Main'!$E$22-U76)</f>
        <v>1838</v>
      </c>
      <c r="Z76" s="399">
        <f>T76-('FMTC Main'!$E$27-V76)</f>
        <v>1852</v>
      </c>
      <c r="AA76" s="400" t="str">
        <f>A76&amp;" "&amp;B76&amp;" "&amp;C76</f>
        <v>2010 BMW #79 Jeff Koons BMW M3 GT2 Art Car</v>
      </c>
    </row>
    <row r="77" spans="1:27" ht="12.95" customHeight="1">
      <c r="A77" s="394">
        <v>2009</v>
      </c>
      <c r="B77" s="394" t="s">
        <v>805</v>
      </c>
      <c r="C77" s="394" t="s">
        <v>105</v>
      </c>
      <c r="D77" s="395">
        <v>1000000</v>
      </c>
      <c r="E77" s="394" t="s">
        <v>1094</v>
      </c>
      <c r="F77" s="394">
        <v>756</v>
      </c>
      <c r="G77" s="396">
        <v>6.9</v>
      </c>
      <c r="H77" s="396">
        <v>7.7</v>
      </c>
      <c r="I77" s="396">
        <v>8.9</v>
      </c>
      <c r="J77" s="396">
        <v>7.9</v>
      </c>
      <c r="K77" s="396">
        <v>7.7</v>
      </c>
      <c r="L77" s="394" t="s">
        <v>1093</v>
      </c>
      <c r="M77" s="394"/>
      <c r="N77" s="389">
        <f>AVERAGE(H77,I77,K77)</f>
        <v>8.1</v>
      </c>
      <c r="O77" s="397">
        <v>2701</v>
      </c>
      <c r="P77" s="398">
        <v>2000</v>
      </c>
      <c r="Q77" s="397">
        <v>1333</v>
      </c>
      <c r="R77" s="397">
        <v>2758</v>
      </c>
      <c r="S77" s="397">
        <v>1538</v>
      </c>
      <c r="T77" s="397">
        <v>1542</v>
      </c>
      <c r="U77" s="397">
        <v>300</v>
      </c>
      <c r="V77" s="397">
        <v>310</v>
      </c>
      <c r="W77" s="397">
        <v>378</v>
      </c>
      <c r="X77" s="397">
        <v>355</v>
      </c>
      <c r="Y77" s="399">
        <f>S77-('FMTC Main'!$E$22-U77)</f>
        <v>1838</v>
      </c>
      <c r="Z77" s="399">
        <f>T77-('FMTC Main'!$E$27-V77)</f>
        <v>1852</v>
      </c>
      <c r="AA77" s="400" t="str">
        <f>A77&amp;" "&amp;B77&amp;" "&amp;C77</f>
        <v>2009 BMW #92 Rahal Letterman Racing M3 GT2</v>
      </c>
    </row>
    <row r="78" spans="1:27" ht="12.95" customHeight="1">
      <c r="A78" s="394">
        <v>2009</v>
      </c>
      <c r="B78" s="394" t="s">
        <v>805</v>
      </c>
      <c r="C78" s="394" t="s">
        <v>103</v>
      </c>
      <c r="D78" s="395">
        <v>36000</v>
      </c>
      <c r="E78" s="394" t="s">
        <v>1088</v>
      </c>
      <c r="F78" s="394">
        <v>487</v>
      </c>
      <c r="G78" s="396">
        <v>6.5</v>
      </c>
      <c r="H78" s="396">
        <v>5.0999999999999996</v>
      </c>
      <c r="I78" s="396">
        <v>7.2</v>
      </c>
      <c r="J78" s="396">
        <v>7.3</v>
      </c>
      <c r="K78" s="396">
        <v>5</v>
      </c>
      <c r="L78" s="394" t="s">
        <v>1093</v>
      </c>
      <c r="M78" s="394"/>
      <c r="N78" s="389">
        <f>AVERAGE(H78,I78,K78)</f>
        <v>5.7666666666666666</v>
      </c>
      <c r="O78" s="397">
        <v>3373</v>
      </c>
      <c r="P78" s="398">
        <v>1919</v>
      </c>
      <c r="Q78" s="397">
        <v>1423</v>
      </c>
      <c r="R78" s="397">
        <v>2660</v>
      </c>
      <c r="S78" s="397">
        <v>1474</v>
      </c>
      <c r="T78" s="397">
        <v>1507</v>
      </c>
      <c r="U78" s="397">
        <v>215</v>
      </c>
      <c r="V78" s="397">
        <v>245</v>
      </c>
      <c r="W78" s="397">
        <v>337.82</v>
      </c>
      <c r="X78" s="397">
        <v>324</v>
      </c>
      <c r="Y78" s="399">
        <f>S78-('FMTC Main'!$E$22-U78)</f>
        <v>1689</v>
      </c>
      <c r="Z78" s="399">
        <f>T78-('FMTC Main'!$E$27-V78)</f>
        <v>1752</v>
      </c>
      <c r="AA78" s="400" t="str">
        <f>A78&amp;" "&amp;B78&amp;" "&amp;C78</f>
        <v>2009 BMW 135i Coupe</v>
      </c>
    </row>
    <row r="79" spans="1:27" ht="12.95" customHeight="1">
      <c r="A79" s="394">
        <v>2011</v>
      </c>
      <c r="B79" s="394" t="s">
        <v>805</v>
      </c>
      <c r="C79" s="394" t="s">
        <v>823</v>
      </c>
      <c r="D79" s="395"/>
      <c r="E79" s="394" t="s">
        <v>1088</v>
      </c>
      <c r="F79" s="394">
        <v>454</v>
      </c>
      <c r="G79" s="396">
        <v>6.3</v>
      </c>
      <c r="H79" s="396">
        <v>4.9000000000000004</v>
      </c>
      <c r="I79" s="396">
        <v>6.9</v>
      </c>
      <c r="J79" s="396">
        <v>7.2</v>
      </c>
      <c r="K79" s="396">
        <v>4.8</v>
      </c>
      <c r="L79" s="394" t="s">
        <v>1093</v>
      </c>
      <c r="M79" s="394" t="s">
        <v>1090</v>
      </c>
      <c r="N79" s="389">
        <f>AVERAGE(H79,I79,K79)</f>
        <v>5.5333333333333341</v>
      </c>
      <c r="O79" s="397">
        <v>3373</v>
      </c>
      <c r="P79" s="398">
        <v>1932</v>
      </c>
      <c r="Q79" s="397">
        <v>1420</v>
      </c>
      <c r="R79" s="397">
        <v>2660</v>
      </c>
      <c r="S79" s="397">
        <v>1541</v>
      </c>
      <c r="T79" s="397">
        <v>1541</v>
      </c>
      <c r="U79" s="397">
        <v>245</v>
      </c>
      <c r="V79" s="397">
        <v>265</v>
      </c>
      <c r="W79" s="397">
        <v>360</v>
      </c>
      <c r="X79" s="397">
        <v>350</v>
      </c>
      <c r="Y79" s="399">
        <f>S79-('FMTC Main'!$E$22-U79)</f>
        <v>1786</v>
      </c>
      <c r="Z79" s="399">
        <f>T79-('FMTC Main'!$E$27-V79)</f>
        <v>1806</v>
      </c>
      <c r="AA79" s="400" t="str">
        <f>A79&amp;" "&amp;B79&amp;" "&amp;C79</f>
        <v>2011 BMW 1-Series M Coupe</v>
      </c>
    </row>
    <row r="80" spans="1:27" ht="12.95" customHeight="1">
      <c r="A80" s="394">
        <v>1973</v>
      </c>
      <c r="B80" s="394" t="s">
        <v>805</v>
      </c>
      <c r="C80" s="394" t="s">
        <v>682</v>
      </c>
      <c r="D80" s="395">
        <v>28000</v>
      </c>
      <c r="E80" s="394" t="s">
        <v>1083</v>
      </c>
      <c r="F80" s="394">
        <v>268</v>
      </c>
      <c r="G80" s="396">
        <v>4</v>
      </c>
      <c r="H80" s="396">
        <v>4.0999999999999996</v>
      </c>
      <c r="I80" s="396">
        <v>6.1</v>
      </c>
      <c r="J80" s="396">
        <v>5.9</v>
      </c>
      <c r="K80" s="396">
        <v>4.0999999999999996</v>
      </c>
      <c r="L80" s="394" t="s">
        <v>1093</v>
      </c>
      <c r="M80" s="394"/>
      <c r="N80" s="389">
        <f>AVERAGE(H80,I80,K80)</f>
        <v>4.7666666666666666</v>
      </c>
      <c r="O80" s="397">
        <v>2381</v>
      </c>
      <c r="P80" s="398">
        <v>1620</v>
      </c>
      <c r="Q80" s="397">
        <v>1410</v>
      </c>
      <c r="R80" s="397">
        <v>2500</v>
      </c>
      <c r="S80" s="397">
        <v>1375</v>
      </c>
      <c r="T80" s="397">
        <v>1362</v>
      </c>
      <c r="U80" s="397">
        <v>185</v>
      </c>
      <c r="V80" s="397">
        <v>185</v>
      </c>
      <c r="W80" s="397">
        <v>256</v>
      </c>
      <c r="X80" s="397">
        <v>250</v>
      </c>
      <c r="Y80" s="399">
        <f>S80-('FMTC Main'!$E$22-U80)</f>
        <v>1560</v>
      </c>
      <c r="Z80" s="399">
        <f>T80-('FMTC Main'!$E$27-V80)</f>
        <v>1547</v>
      </c>
      <c r="AA80" s="400" t="str">
        <f>A80&amp;" "&amp;B80&amp;" "&amp;C80</f>
        <v>1973 BMW 2002 Turbo</v>
      </c>
    </row>
    <row r="81" spans="1:27" ht="12.95" customHeight="1">
      <c r="A81" s="394">
        <v>1971</v>
      </c>
      <c r="B81" s="394" t="s">
        <v>805</v>
      </c>
      <c r="C81" s="394" t="s">
        <v>104</v>
      </c>
      <c r="D81" s="395">
        <v>120000</v>
      </c>
      <c r="E81" s="394" t="s">
        <v>1083</v>
      </c>
      <c r="F81" s="394">
        <v>255</v>
      </c>
      <c r="G81" s="396">
        <v>3.6</v>
      </c>
      <c r="H81" s="396">
        <v>4.2</v>
      </c>
      <c r="I81" s="396">
        <v>5.8</v>
      </c>
      <c r="J81" s="396">
        <v>6</v>
      </c>
      <c r="K81" s="396">
        <v>4.2</v>
      </c>
      <c r="L81" s="394" t="s">
        <v>1093</v>
      </c>
      <c r="M81" s="394"/>
      <c r="N81" s="389">
        <f>AVERAGE(H81,I81,K81)</f>
        <v>4.7333333333333334</v>
      </c>
      <c r="O81" s="397">
        <v>2568</v>
      </c>
      <c r="P81" s="398">
        <v>1648</v>
      </c>
      <c r="Q81" s="397">
        <v>1369</v>
      </c>
      <c r="R81" s="397">
        <v>2624</v>
      </c>
      <c r="S81" s="397">
        <v>1446</v>
      </c>
      <c r="T81" s="397">
        <v>1402</v>
      </c>
      <c r="U81" s="397">
        <v>195</v>
      </c>
      <c r="V81" s="397">
        <v>195</v>
      </c>
      <c r="W81" s="397">
        <v>272</v>
      </c>
      <c r="X81" s="397">
        <v>272</v>
      </c>
      <c r="Y81" s="399">
        <f>S81-('FMTC Main'!$E$22-U81)</f>
        <v>1641</v>
      </c>
      <c r="Z81" s="399">
        <f>T81-('FMTC Main'!$E$27-V81)</f>
        <v>1597</v>
      </c>
      <c r="AA81" s="400" t="str">
        <f>A81&amp;" "&amp;B81&amp;" "&amp;C81</f>
        <v>1971 BMW 3.0 CSL</v>
      </c>
    </row>
    <row r="82" spans="1:27" ht="12.95" customHeight="1">
      <c r="A82" s="394">
        <v>1981</v>
      </c>
      <c r="B82" s="394" t="s">
        <v>805</v>
      </c>
      <c r="C82" s="394" t="s">
        <v>344</v>
      </c>
      <c r="D82" s="395">
        <v>150000</v>
      </c>
      <c r="E82" s="394" t="s">
        <v>1088</v>
      </c>
      <c r="F82" s="394">
        <v>451</v>
      </c>
      <c r="G82" s="396">
        <v>5.5</v>
      </c>
      <c r="H82" s="396">
        <v>5.2</v>
      </c>
      <c r="I82" s="396">
        <v>6.9</v>
      </c>
      <c r="J82" s="396">
        <v>6.6</v>
      </c>
      <c r="K82" s="396">
        <v>5.0999999999999996</v>
      </c>
      <c r="L82" s="394" t="s">
        <v>1093</v>
      </c>
      <c r="M82" s="394"/>
      <c r="N82" s="389">
        <f>AVERAGE(H82,I82,K82)</f>
        <v>5.7333333333333343</v>
      </c>
      <c r="O82" s="397">
        <v>2866</v>
      </c>
      <c r="P82" s="397">
        <v>1824</v>
      </c>
      <c r="Q82" s="397">
        <v>1138</v>
      </c>
      <c r="R82" s="397">
        <v>2560</v>
      </c>
      <c r="S82" s="397">
        <v>1549</v>
      </c>
      <c r="T82" s="397">
        <v>1575</v>
      </c>
      <c r="U82" s="397">
        <v>205</v>
      </c>
      <c r="V82" s="397">
        <v>225</v>
      </c>
      <c r="W82" s="397">
        <v>300</v>
      </c>
      <c r="X82" s="397">
        <v>297</v>
      </c>
      <c r="Y82" s="399">
        <f>S82-('FMTC Main'!$E$22-U82)</f>
        <v>1754</v>
      </c>
      <c r="Z82" s="399">
        <f>T82-('FMTC Main'!$E$27-V82)</f>
        <v>1800</v>
      </c>
      <c r="AA82" s="400" t="str">
        <f>A82&amp;" "&amp;B82&amp;" "&amp;C82</f>
        <v>1981 BMW M1</v>
      </c>
    </row>
    <row r="83" spans="1:27" ht="12.95" customHeight="1">
      <c r="A83" s="394">
        <v>1981</v>
      </c>
      <c r="B83" s="394" t="s">
        <v>805</v>
      </c>
      <c r="C83" s="394" t="s">
        <v>806</v>
      </c>
      <c r="D83" s="395">
        <v>150000</v>
      </c>
      <c r="E83" s="394" t="s">
        <v>1088</v>
      </c>
      <c r="F83" s="394">
        <v>451</v>
      </c>
      <c r="G83" s="396">
        <v>5.5</v>
      </c>
      <c r="H83" s="396">
        <v>5.2</v>
      </c>
      <c r="I83" s="396">
        <v>6.9</v>
      </c>
      <c r="J83" s="396">
        <v>6.6</v>
      </c>
      <c r="K83" s="396">
        <v>5.0999999999999996</v>
      </c>
      <c r="L83" s="394" t="s">
        <v>1093</v>
      </c>
      <c r="M83" s="394" t="s">
        <v>1095</v>
      </c>
      <c r="N83" s="389">
        <f>AVERAGE(H83,I83,K83)</f>
        <v>5.7333333333333343</v>
      </c>
      <c r="O83" s="397">
        <v>2866</v>
      </c>
      <c r="P83" s="397">
        <v>1824</v>
      </c>
      <c r="Q83" s="397">
        <v>1138</v>
      </c>
      <c r="R83" s="397">
        <v>2560</v>
      </c>
      <c r="S83" s="397">
        <v>1549</v>
      </c>
      <c r="T83" s="397">
        <v>1575</v>
      </c>
      <c r="U83" s="397">
        <v>205</v>
      </c>
      <c r="V83" s="397">
        <v>225</v>
      </c>
      <c r="W83" s="397">
        <v>300</v>
      </c>
      <c r="X83" s="397">
        <v>297</v>
      </c>
      <c r="Y83" s="399">
        <f>S83-('FMTC Main'!$E$22-U83)</f>
        <v>1754</v>
      </c>
      <c r="Z83" s="399">
        <f>T83-('FMTC Main'!$E$27-V83)</f>
        <v>1800</v>
      </c>
      <c r="AA83" s="400" t="str">
        <f>A83&amp;" "&amp;B83&amp;" "&amp;C83</f>
        <v>1981 BMW M1 BMW Design Art Car</v>
      </c>
    </row>
    <row r="84" spans="1:27" ht="12.95" customHeight="1">
      <c r="A84" s="394">
        <v>1991</v>
      </c>
      <c r="B84" s="394" t="s">
        <v>805</v>
      </c>
      <c r="C84" s="394" t="s">
        <v>107</v>
      </c>
      <c r="D84" s="395">
        <v>16000</v>
      </c>
      <c r="E84" s="394" t="s">
        <v>1087</v>
      </c>
      <c r="F84" s="394">
        <v>357</v>
      </c>
      <c r="G84" s="396">
        <v>5.0999999999999996</v>
      </c>
      <c r="H84" s="396">
        <v>4.8</v>
      </c>
      <c r="I84" s="396">
        <v>6.2</v>
      </c>
      <c r="J84" s="396">
        <v>6.6</v>
      </c>
      <c r="K84" s="396">
        <v>4.7</v>
      </c>
      <c r="L84" s="394" t="s">
        <v>1093</v>
      </c>
      <c r="M84" s="394"/>
      <c r="N84" s="389">
        <f>AVERAGE(H84,I84,K84)</f>
        <v>5.2333333333333334</v>
      </c>
      <c r="O84" s="397">
        <v>2762</v>
      </c>
      <c r="P84" s="398">
        <v>1680</v>
      </c>
      <c r="Q84" s="397">
        <v>1370</v>
      </c>
      <c r="R84" s="397">
        <v>2565</v>
      </c>
      <c r="S84" s="397">
        <v>1412</v>
      </c>
      <c r="T84" s="397">
        <v>1461</v>
      </c>
      <c r="U84" s="397">
        <v>225</v>
      </c>
      <c r="V84" s="397">
        <v>225</v>
      </c>
      <c r="W84" s="397">
        <v>280</v>
      </c>
      <c r="X84" s="397">
        <v>282</v>
      </c>
      <c r="Y84" s="399">
        <f>S84-('FMTC Main'!$E$22-U84)</f>
        <v>1637</v>
      </c>
      <c r="Z84" s="399">
        <f>T84-('FMTC Main'!$E$27-V84)</f>
        <v>1686</v>
      </c>
      <c r="AA84" s="400" t="str">
        <f>A84&amp;" "&amp;B84&amp;" "&amp;C84</f>
        <v>1991 BMW M3 E30</v>
      </c>
    </row>
    <row r="85" spans="1:27" ht="12.95" customHeight="1">
      <c r="A85" s="394">
        <v>1997</v>
      </c>
      <c r="B85" s="394" t="s">
        <v>805</v>
      </c>
      <c r="C85" s="394" t="s">
        <v>106</v>
      </c>
      <c r="D85" s="395">
        <v>10000</v>
      </c>
      <c r="E85" s="394" t="s">
        <v>1088</v>
      </c>
      <c r="F85" s="394">
        <v>468</v>
      </c>
      <c r="G85" s="396">
        <v>7</v>
      </c>
      <c r="H85" s="396">
        <v>4.9000000000000004</v>
      </c>
      <c r="I85" s="396">
        <v>6.9</v>
      </c>
      <c r="J85" s="396">
        <v>7.2</v>
      </c>
      <c r="K85" s="396">
        <v>4.9000000000000004</v>
      </c>
      <c r="L85" s="394" t="s">
        <v>1093</v>
      </c>
      <c r="M85" s="394"/>
      <c r="N85" s="389">
        <f>AVERAGE(H85,I85,K85)</f>
        <v>5.5666666666666673</v>
      </c>
      <c r="O85" s="397">
        <v>3219</v>
      </c>
      <c r="P85" s="398">
        <v>1698</v>
      </c>
      <c r="Q85" s="397">
        <v>1365</v>
      </c>
      <c r="R85" s="397">
        <v>2700</v>
      </c>
      <c r="S85" s="397">
        <v>1422</v>
      </c>
      <c r="T85" s="397">
        <v>1438</v>
      </c>
      <c r="U85" s="397">
        <v>225</v>
      </c>
      <c r="V85" s="397">
        <v>245</v>
      </c>
      <c r="W85" s="397">
        <v>315</v>
      </c>
      <c r="X85" s="397">
        <v>312</v>
      </c>
      <c r="Y85" s="399">
        <f>S85-('FMTC Main'!$E$22-U85)</f>
        <v>1647</v>
      </c>
      <c r="Z85" s="399">
        <f>T85-('FMTC Main'!$E$27-V85)</f>
        <v>1683</v>
      </c>
      <c r="AA85" s="400" t="str">
        <f>A85&amp;" "&amp;B85&amp;" "&amp;C85</f>
        <v>1997 BMW M3 E36</v>
      </c>
    </row>
    <row r="86" spans="1:27" ht="12.95" customHeight="1">
      <c r="A86" s="394">
        <v>2005</v>
      </c>
      <c r="B86" s="394" t="s">
        <v>805</v>
      </c>
      <c r="C86" s="394" t="s">
        <v>815</v>
      </c>
      <c r="D86" s="395">
        <v>30000</v>
      </c>
      <c r="E86" s="394"/>
      <c r="F86" s="394"/>
      <c r="G86" s="396"/>
      <c r="H86" s="396"/>
      <c r="I86" s="396"/>
      <c r="J86" s="396"/>
      <c r="K86" s="396"/>
      <c r="L86" s="394" t="s">
        <v>1093</v>
      </c>
      <c r="M86" s="394"/>
      <c r="N86" s="389" t="e">
        <f>AVERAGE(H86,I86,K86)</f>
        <v>#DIV/0!</v>
      </c>
      <c r="O86" s="397">
        <v>3415</v>
      </c>
      <c r="P86" s="397">
        <v>1780</v>
      </c>
      <c r="Q86" s="397">
        <v>1383</v>
      </c>
      <c r="R86" s="397">
        <v>2731</v>
      </c>
      <c r="S86" s="397">
        <v>1508</v>
      </c>
      <c r="T86" s="397">
        <v>1504</v>
      </c>
      <c r="U86" s="397">
        <v>225</v>
      </c>
      <c r="V86" s="397">
        <v>255</v>
      </c>
      <c r="W86" s="397">
        <v>355</v>
      </c>
      <c r="X86" s="397">
        <v>328</v>
      </c>
      <c r="Y86" s="399">
        <f>S86-('FMTC Main'!$E$22-U86)</f>
        <v>1733</v>
      </c>
      <c r="Z86" s="399">
        <f>T86-('FMTC Main'!$E$27-V86)</f>
        <v>1759</v>
      </c>
      <c r="AA86" s="400" t="str">
        <f>A86&amp;" "&amp;B86&amp;" "&amp;C86</f>
        <v>2005 BMW M3 E46</v>
      </c>
    </row>
    <row r="87" spans="1:27" ht="12.95" customHeight="1">
      <c r="A87" s="394">
        <v>2008</v>
      </c>
      <c r="B87" s="394" t="s">
        <v>805</v>
      </c>
      <c r="C87" s="394" t="s">
        <v>108</v>
      </c>
      <c r="D87" s="395">
        <v>52000</v>
      </c>
      <c r="E87" s="394" t="s">
        <v>349</v>
      </c>
      <c r="F87" s="394">
        <v>508</v>
      </c>
      <c r="G87" s="396">
        <v>7.7</v>
      </c>
      <c r="H87" s="396">
        <v>5.0999999999999996</v>
      </c>
      <c r="I87" s="396">
        <v>7.4</v>
      </c>
      <c r="J87" s="396">
        <v>7.2</v>
      </c>
      <c r="K87" s="396">
        <v>5.0999999999999996</v>
      </c>
      <c r="L87" s="394" t="s">
        <v>1093</v>
      </c>
      <c r="M87" s="394"/>
      <c r="N87" s="389">
        <f>AVERAGE(H87,I87,K87)</f>
        <v>5.8666666666666671</v>
      </c>
      <c r="O87" s="397">
        <v>3649</v>
      </c>
      <c r="P87" s="398">
        <v>1820</v>
      </c>
      <c r="Q87" s="397">
        <v>1418</v>
      </c>
      <c r="R87" s="397">
        <v>2761</v>
      </c>
      <c r="S87" s="397">
        <v>1538</v>
      </c>
      <c r="T87" s="397">
        <v>1539</v>
      </c>
      <c r="U87" s="397">
        <v>245</v>
      </c>
      <c r="V87" s="397">
        <v>265</v>
      </c>
      <c r="W87" s="397">
        <v>360</v>
      </c>
      <c r="X87" s="397">
        <v>350</v>
      </c>
      <c r="Y87" s="399">
        <f>S87-('FMTC Main'!$E$22-U87)</f>
        <v>1783</v>
      </c>
      <c r="Z87" s="399">
        <f>T87-('FMTC Main'!$E$27-V87)</f>
        <v>1804</v>
      </c>
      <c r="AA87" s="400" t="str">
        <f>A87&amp;" "&amp;B87&amp;" "&amp;C87</f>
        <v>2008 BMW M3 E92</v>
      </c>
    </row>
    <row r="88" spans="1:27" ht="12.95" customHeight="1">
      <c r="A88" s="394">
        <v>2008</v>
      </c>
      <c r="B88" s="394" t="s">
        <v>805</v>
      </c>
      <c r="C88" s="394" t="s">
        <v>816</v>
      </c>
      <c r="D88" s="395">
        <v>52000</v>
      </c>
      <c r="E88" s="394" t="s">
        <v>349</v>
      </c>
      <c r="F88" s="394">
        <v>508</v>
      </c>
      <c r="G88" s="396">
        <v>7.7</v>
      </c>
      <c r="H88" s="396">
        <v>5.0999999999999996</v>
      </c>
      <c r="I88" s="396">
        <v>7.4</v>
      </c>
      <c r="J88" s="396">
        <v>7.2</v>
      </c>
      <c r="K88" s="396">
        <v>5.0999999999999996</v>
      </c>
      <c r="L88" s="394" t="s">
        <v>1093</v>
      </c>
      <c r="M88" s="394" t="s">
        <v>1095</v>
      </c>
      <c r="N88" s="389">
        <f>AVERAGE(H88,I88,K88)</f>
        <v>5.8666666666666671</v>
      </c>
      <c r="O88" s="397">
        <v>3649</v>
      </c>
      <c r="P88" s="398">
        <v>1820</v>
      </c>
      <c r="Q88" s="397">
        <v>1418</v>
      </c>
      <c r="R88" s="397">
        <v>2761</v>
      </c>
      <c r="S88" s="397">
        <v>1538</v>
      </c>
      <c r="T88" s="397">
        <v>1539</v>
      </c>
      <c r="U88" s="397">
        <v>245</v>
      </c>
      <c r="V88" s="397">
        <v>265</v>
      </c>
      <c r="W88" s="397">
        <v>360</v>
      </c>
      <c r="X88" s="397">
        <v>350</v>
      </c>
      <c r="Y88" s="399">
        <f>S88-('FMTC Main'!$E$22-U88)</f>
        <v>1783</v>
      </c>
      <c r="Z88" s="399">
        <f>T88-('FMTC Main'!$E$27-V88)</f>
        <v>1804</v>
      </c>
      <c r="AA88" s="400" t="str">
        <f>A88&amp;" "&amp;B88&amp;" "&amp;C88</f>
        <v>2008 BMW M3 E92 BMW Design Art Car</v>
      </c>
    </row>
    <row r="89" spans="1:27" ht="12.95" customHeight="1">
      <c r="A89" s="394">
        <v>2002</v>
      </c>
      <c r="B89" s="394" t="s">
        <v>805</v>
      </c>
      <c r="C89" s="394" t="s">
        <v>1082</v>
      </c>
      <c r="D89" s="395"/>
      <c r="E89" s="394"/>
      <c r="F89" s="394"/>
      <c r="G89" s="396"/>
      <c r="H89" s="396"/>
      <c r="I89" s="396"/>
      <c r="J89" s="396"/>
      <c r="K89" s="396"/>
      <c r="L89" s="394" t="s">
        <v>1093</v>
      </c>
      <c r="M89" s="394" t="s">
        <v>1096</v>
      </c>
      <c r="N89" s="389" t="e">
        <f>AVERAGE(H89,I89,K89)</f>
        <v>#DIV/0!</v>
      </c>
      <c r="O89" s="397">
        <v>2469</v>
      </c>
      <c r="P89" s="397">
        <v>1784</v>
      </c>
      <c r="Q89" s="397">
        <v>1345</v>
      </c>
      <c r="R89" s="397">
        <v>2731</v>
      </c>
      <c r="S89" s="397">
        <v>1608</v>
      </c>
      <c r="T89" s="397">
        <v>1603</v>
      </c>
      <c r="U89" s="397">
        <v>225</v>
      </c>
      <c r="V89" s="397">
        <v>255</v>
      </c>
      <c r="W89" s="397">
        <v>325</v>
      </c>
      <c r="X89" s="397">
        <v>328</v>
      </c>
      <c r="Y89" s="399">
        <f>S89-('FMTC Main'!$E$22-U89)</f>
        <v>1833</v>
      </c>
      <c r="Z89" s="399">
        <f>T89-('FMTC Main'!$E$27-V89)</f>
        <v>1858</v>
      </c>
      <c r="AA89" s="400" t="str">
        <f>A89&amp;" "&amp;B89&amp;" "&amp;C89</f>
        <v>2002 BMW M3-GTR</v>
      </c>
    </row>
    <row r="90" spans="1:27" ht="12.95" customHeight="1">
      <c r="A90" s="394">
        <v>1988</v>
      </c>
      <c r="B90" s="394" t="s">
        <v>805</v>
      </c>
      <c r="C90" s="394" t="s">
        <v>808</v>
      </c>
      <c r="D90" s="395">
        <v>19000</v>
      </c>
      <c r="E90" s="394" t="s">
        <v>1087</v>
      </c>
      <c r="F90" s="394">
        <v>367</v>
      </c>
      <c r="G90" s="396">
        <v>5.4</v>
      </c>
      <c r="H90" s="396">
        <v>4.7</v>
      </c>
      <c r="I90" s="396">
        <v>6.1</v>
      </c>
      <c r="J90" s="396">
        <v>6.6</v>
      </c>
      <c r="K90" s="396">
        <v>4.7</v>
      </c>
      <c r="L90" s="394" t="s">
        <v>1093</v>
      </c>
      <c r="M90" s="394"/>
      <c r="N90" s="389">
        <f>AVERAGE(H90,I90,K90)</f>
        <v>5.166666666666667</v>
      </c>
      <c r="O90" s="397">
        <v>3230</v>
      </c>
      <c r="P90" s="398">
        <v>1700</v>
      </c>
      <c r="Q90" s="397">
        <v>1415</v>
      </c>
      <c r="R90" s="397">
        <v>2628</v>
      </c>
      <c r="S90" s="397">
        <v>1430</v>
      </c>
      <c r="T90" s="397">
        <v>1465</v>
      </c>
      <c r="U90" s="397">
        <v>225</v>
      </c>
      <c r="V90" s="397">
        <v>225</v>
      </c>
      <c r="W90" s="397">
        <v>300</v>
      </c>
      <c r="X90" s="397">
        <v>284</v>
      </c>
      <c r="Y90" s="399">
        <f>S90-('FMTC Main'!$E$22-U90)</f>
        <v>1655</v>
      </c>
      <c r="Z90" s="399">
        <f>T90-('FMTC Main'!$E$27-V90)</f>
        <v>1690</v>
      </c>
      <c r="AA90" s="400" t="str">
        <f>A90&amp;" "&amp;B90&amp;" "&amp;C90</f>
        <v>1988 BMW M5 E28</v>
      </c>
    </row>
    <row r="91" spans="1:27" ht="12.95" customHeight="1">
      <c r="A91" s="394">
        <v>2003</v>
      </c>
      <c r="B91" s="394" t="s">
        <v>805</v>
      </c>
      <c r="C91" s="394" t="s">
        <v>813</v>
      </c>
      <c r="D91" s="395">
        <v>26000</v>
      </c>
      <c r="E91" s="394" t="s">
        <v>1088</v>
      </c>
      <c r="F91" s="394">
        <v>482</v>
      </c>
      <c r="G91" s="396">
        <v>8</v>
      </c>
      <c r="H91" s="396">
        <v>4.8</v>
      </c>
      <c r="I91" s="396">
        <v>7.3</v>
      </c>
      <c r="J91" s="396">
        <v>6.9</v>
      </c>
      <c r="K91" s="396">
        <v>4.7</v>
      </c>
      <c r="L91" s="394" t="s">
        <v>1093</v>
      </c>
      <c r="M91" s="394"/>
      <c r="N91" s="389">
        <f>AVERAGE(H91,I91,K91)</f>
        <v>5.6000000000000005</v>
      </c>
      <c r="O91" s="397">
        <v>3900</v>
      </c>
      <c r="P91" s="398">
        <v>1847</v>
      </c>
      <c r="Q91" s="397">
        <v>1435</v>
      </c>
      <c r="R91" s="397">
        <v>2830</v>
      </c>
      <c r="S91" s="397">
        <v>1515</v>
      </c>
      <c r="T91" s="397">
        <v>1527</v>
      </c>
      <c r="U91" s="397">
        <v>245</v>
      </c>
      <c r="V91" s="397">
        <v>275</v>
      </c>
      <c r="W91" s="397">
        <v>354</v>
      </c>
      <c r="X91" s="397">
        <v>328</v>
      </c>
      <c r="Y91" s="399">
        <f>S91-('FMTC Main'!$E$22-U91)</f>
        <v>1760</v>
      </c>
      <c r="Z91" s="399">
        <f>T91-('FMTC Main'!$E$27-V91)</f>
        <v>1802</v>
      </c>
      <c r="AA91" s="400" t="str">
        <f>A91&amp;" "&amp;B91&amp;" "&amp;C91</f>
        <v>2003 BMW M5 E39</v>
      </c>
    </row>
    <row r="92" spans="1:27" ht="12.95" customHeight="1">
      <c r="A92" s="394">
        <v>2009</v>
      </c>
      <c r="B92" s="394" t="s">
        <v>805</v>
      </c>
      <c r="C92" s="394" t="s">
        <v>109</v>
      </c>
      <c r="D92" s="395">
        <v>84000</v>
      </c>
      <c r="E92" s="394" t="s">
        <v>349</v>
      </c>
      <c r="F92" s="394">
        <v>509</v>
      </c>
      <c r="G92" s="396">
        <v>7.6</v>
      </c>
      <c r="H92" s="396">
        <v>5</v>
      </c>
      <c r="I92" s="396">
        <v>7.4</v>
      </c>
      <c r="J92" s="396">
        <v>7.3</v>
      </c>
      <c r="K92" s="396">
        <v>5</v>
      </c>
      <c r="L92" s="394" t="s">
        <v>1093</v>
      </c>
      <c r="M92" s="394"/>
      <c r="N92" s="389">
        <f>AVERAGE(H92,I92,K92)</f>
        <v>5.8</v>
      </c>
      <c r="O92" s="397">
        <v>4012</v>
      </c>
      <c r="P92" s="398">
        <v>1846</v>
      </c>
      <c r="Q92" s="397">
        <v>1468</v>
      </c>
      <c r="R92" s="397">
        <v>2889</v>
      </c>
      <c r="S92" s="397">
        <v>1580</v>
      </c>
      <c r="T92" s="397">
        <v>1566</v>
      </c>
      <c r="U92" s="397">
        <v>255</v>
      </c>
      <c r="V92" s="397">
        <v>285</v>
      </c>
      <c r="W92" s="397">
        <v>374</v>
      </c>
      <c r="X92" s="397">
        <v>370</v>
      </c>
      <c r="Y92" s="399">
        <f>S92-('FMTC Main'!$E$22-U92)</f>
        <v>1835</v>
      </c>
      <c r="Z92" s="399">
        <f>T92-('FMTC Main'!$E$27-V92)</f>
        <v>1851</v>
      </c>
      <c r="AA92" s="400" t="str">
        <f>A92&amp;" "&amp;B92&amp;" "&amp;C92</f>
        <v>2009 BMW M5 E60</v>
      </c>
    </row>
    <row r="93" spans="1:27" ht="12.95" customHeight="1">
      <c r="A93" s="394">
        <v>2012</v>
      </c>
      <c r="B93" s="394" t="s">
        <v>805</v>
      </c>
      <c r="C93" s="394" t="s">
        <v>825</v>
      </c>
      <c r="D93" s="395">
        <v>90000</v>
      </c>
      <c r="E93" s="394" t="s">
        <v>349</v>
      </c>
      <c r="F93" s="394">
        <v>532</v>
      </c>
      <c r="G93" s="396">
        <v>8.1</v>
      </c>
      <c r="H93" s="396">
        <v>5</v>
      </c>
      <c r="I93" s="396">
        <v>7.6</v>
      </c>
      <c r="J93" s="396">
        <v>7</v>
      </c>
      <c r="K93" s="396">
        <v>5</v>
      </c>
      <c r="L93" s="394" t="s">
        <v>1093</v>
      </c>
      <c r="M93" s="394" t="s">
        <v>1110</v>
      </c>
      <c r="N93" s="389">
        <f>AVERAGE(H93,I93,K93)</f>
        <v>5.8666666666666671</v>
      </c>
      <c r="O93" s="397">
        <v>4123</v>
      </c>
      <c r="P93" s="398">
        <v>2119</v>
      </c>
      <c r="Q93" s="397">
        <v>1467</v>
      </c>
      <c r="R93" s="397">
        <v>2964</v>
      </c>
      <c r="S93" s="397">
        <v>1627</v>
      </c>
      <c r="T93" s="397">
        <v>1582</v>
      </c>
      <c r="U93" s="397">
        <v>265</v>
      </c>
      <c r="V93" s="397">
        <v>295</v>
      </c>
      <c r="W93" s="397">
        <v>400</v>
      </c>
      <c r="X93" s="397">
        <v>396</v>
      </c>
      <c r="Y93" s="399">
        <f>S93-('FMTC Main'!$E$22-U93)</f>
        <v>1892</v>
      </c>
      <c r="Z93" s="399">
        <f>T93-('FMTC Main'!$E$27-V93)</f>
        <v>1877</v>
      </c>
      <c r="AA93" s="400" t="str">
        <f>A93&amp;" "&amp;B93&amp;" "&amp;C93</f>
        <v>2012 BMW M5 F10</v>
      </c>
    </row>
    <row r="94" spans="1:27" ht="12.95" customHeight="1">
      <c r="A94" s="394">
        <v>2012</v>
      </c>
      <c r="B94" s="394" t="s">
        <v>805</v>
      </c>
      <c r="C94" s="394" t="s">
        <v>819</v>
      </c>
      <c r="D94" s="395">
        <v>90000</v>
      </c>
      <c r="E94" s="394" t="s">
        <v>349</v>
      </c>
      <c r="F94" s="394">
        <v>532</v>
      </c>
      <c r="G94" s="396">
        <v>8.1</v>
      </c>
      <c r="H94" s="396">
        <v>5</v>
      </c>
      <c r="I94" s="396">
        <v>7.6</v>
      </c>
      <c r="J94" s="396">
        <v>7</v>
      </c>
      <c r="K94" s="396">
        <v>5</v>
      </c>
      <c r="L94" s="394" t="s">
        <v>1093</v>
      </c>
      <c r="M94" s="394" t="s">
        <v>1095</v>
      </c>
      <c r="N94" s="389">
        <f>AVERAGE(H94,I94,K94)</f>
        <v>5.8666666666666671</v>
      </c>
      <c r="O94" s="397">
        <v>4123</v>
      </c>
      <c r="P94" s="398">
        <v>2119</v>
      </c>
      <c r="Q94" s="397">
        <v>1467</v>
      </c>
      <c r="R94" s="397">
        <v>2964</v>
      </c>
      <c r="S94" s="397">
        <v>1627</v>
      </c>
      <c r="T94" s="397">
        <v>1582</v>
      </c>
      <c r="U94" s="397">
        <v>265</v>
      </c>
      <c r="V94" s="397">
        <v>295</v>
      </c>
      <c r="W94" s="397">
        <v>400</v>
      </c>
      <c r="X94" s="397">
        <v>396</v>
      </c>
      <c r="Y94" s="399">
        <f>S94-('FMTC Main'!$E$22-U94)</f>
        <v>1892</v>
      </c>
      <c r="Z94" s="399">
        <f>T94-('FMTC Main'!$E$27-V94)</f>
        <v>1877</v>
      </c>
      <c r="AA94" s="400" t="str">
        <f>A94&amp;" "&amp;B94&amp;" "&amp;C94</f>
        <v>2012 BMW M5 F10 BMW Design Art Car</v>
      </c>
    </row>
    <row r="95" spans="1:27" ht="12.95" customHeight="1">
      <c r="A95" s="394">
        <v>2010</v>
      </c>
      <c r="B95" s="394" t="s">
        <v>805</v>
      </c>
      <c r="C95" s="394" t="s">
        <v>636</v>
      </c>
      <c r="D95" s="395">
        <v>95000</v>
      </c>
      <c r="E95" s="394" t="s">
        <v>349</v>
      </c>
      <c r="F95" s="394">
        <v>509</v>
      </c>
      <c r="G95" s="396">
        <v>8</v>
      </c>
      <c r="H95" s="396">
        <v>5</v>
      </c>
      <c r="I95" s="396">
        <v>7.4</v>
      </c>
      <c r="J95" s="396">
        <v>7.1</v>
      </c>
      <c r="K95" s="396">
        <v>5</v>
      </c>
      <c r="L95" s="394" t="s">
        <v>1093</v>
      </c>
      <c r="M95" s="394"/>
      <c r="N95" s="389">
        <f>AVERAGE(H95,I95,K95)</f>
        <v>5.8</v>
      </c>
      <c r="O95" s="397">
        <v>4098</v>
      </c>
      <c r="P95" s="398">
        <v>1854</v>
      </c>
      <c r="Q95" s="397">
        <v>1371</v>
      </c>
      <c r="R95" s="397">
        <v>2781</v>
      </c>
      <c r="S95" s="397">
        <v>1567</v>
      </c>
      <c r="T95" s="397">
        <v>1584</v>
      </c>
      <c r="U95" s="397">
        <v>255</v>
      </c>
      <c r="V95" s="397">
        <v>285</v>
      </c>
      <c r="W95" s="397">
        <v>373</v>
      </c>
      <c r="X95" s="397">
        <v>370</v>
      </c>
      <c r="Y95" s="399">
        <f>S95-('FMTC Main'!$E$22-U95)</f>
        <v>1822</v>
      </c>
      <c r="Z95" s="399">
        <f>T95-('FMTC Main'!$E$27-V95)</f>
        <v>1869</v>
      </c>
      <c r="AA95" s="400" t="str">
        <f>A95&amp;" "&amp;B95&amp;" "&amp;C95</f>
        <v>2010 BMW M6 Coupe</v>
      </c>
    </row>
    <row r="96" spans="1:27" ht="12.95" customHeight="1">
      <c r="A96" s="394">
        <v>2010</v>
      </c>
      <c r="B96" s="394" t="s">
        <v>805</v>
      </c>
      <c r="C96" s="394" t="s">
        <v>820</v>
      </c>
      <c r="D96" s="395">
        <v>95000</v>
      </c>
      <c r="E96" s="394" t="s">
        <v>349</v>
      </c>
      <c r="F96" s="394">
        <v>509</v>
      </c>
      <c r="G96" s="396">
        <v>8</v>
      </c>
      <c r="H96" s="396">
        <v>5</v>
      </c>
      <c r="I96" s="396">
        <v>7.4</v>
      </c>
      <c r="J96" s="396">
        <v>7.1</v>
      </c>
      <c r="K96" s="396">
        <v>5</v>
      </c>
      <c r="L96" s="394" t="s">
        <v>1093</v>
      </c>
      <c r="M96" s="394" t="s">
        <v>1095</v>
      </c>
      <c r="N96" s="389">
        <f>AVERAGE(H96,I96,K96)</f>
        <v>5.8</v>
      </c>
      <c r="O96" s="397">
        <v>4098</v>
      </c>
      <c r="P96" s="398">
        <v>1860</v>
      </c>
      <c r="Q96" s="397">
        <v>1380</v>
      </c>
      <c r="R96" s="397">
        <v>2781</v>
      </c>
      <c r="S96" s="397">
        <v>1567</v>
      </c>
      <c r="T96" s="397">
        <v>1584</v>
      </c>
      <c r="U96" s="397">
        <v>255</v>
      </c>
      <c r="V96" s="397">
        <v>285</v>
      </c>
      <c r="W96" s="397">
        <v>374</v>
      </c>
      <c r="X96" s="397">
        <v>345</v>
      </c>
      <c r="Y96" s="399">
        <f>S96-('FMTC Main'!$E$22-U96)</f>
        <v>1822</v>
      </c>
      <c r="Z96" s="399">
        <f>T96-('FMTC Main'!$E$27-V96)</f>
        <v>1869</v>
      </c>
      <c r="AA96" s="400" t="str">
        <f>A96&amp;" "&amp;B96&amp;" "&amp;C96</f>
        <v>2010 BMW M6 Coupe Design Art Car</v>
      </c>
    </row>
    <row r="97" spans="1:27" ht="12.95" customHeight="1">
      <c r="A97" s="394">
        <v>1986</v>
      </c>
      <c r="B97" s="394" t="s">
        <v>805</v>
      </c>
      <c r="C97" s="394" t="s">
        <v>807</v>
      </c>
      <c r="D97" s="395">
        <v>21000</v>
      </c>
      <c r="E97" s="394" t="s">
        <v>1087</v>
      </c>
      <c r="F97" s="394">
        <v>373</v>
      </c>
      <c r="G97" s="396">
        <v>5.3</v>
      </c>
      <c r="H97" s="396">
        <v>4.9000000000000004</v>
      </c>
      <c r="I97" s="396">
        <v>5.9</v>
      </c>
      <c r="J97" s="396">
        <v>6.5</v>
      </c>
      <c r="K97" s="396">
        <v>4.9000000000000004</v>
      </c>
      <c r="L97" s="394" t="s">
        <v>1093</v>
      </c>
      <c r="M97" s="394"/>
      <c r="N97" s="389">
        <f>AVERAGE(H97,I97,K97)</f>
        <v>5.2333333333333334</v>
      </c>
      <c r="O97" s="397">
        <v>3329</v>
      </c>
      <c r="P97" s="398">
        <v>1725</v>
      </c>
      <c r="Q97" s="397">
        <v>1355</v>
      </c>
      <c r="R97" s="397">
        <v>2625</v>
      </c>
      <c r="S97" s="397">
        <v>1430</v>
      </c>
      <c r="T97" s="397">
        <v>1460</v>
      </c>
      <c r="U97" s="397">
        <v>245</v>
      </c>
      <c r="V97" s="397">
        <v>245</v>
      </c>
      <c r="W97" s="397">
        <v>282</v>
      </c>
      <c r="X97" s="397">
        <v>284</v>
      </c>
      <c r="Y97" s="399">
        <f>S97-('FMTC Main'!$E$22-U97)</f>
        <v>1675</v>
      </c>
      <c r="Z97" s="399">
        <f>T97-('FMTC Main'!$E$27-V97)</f>
        <v>1705</v>
      </c>
      <c r="AA97" s="400" t="str">
        <f>A97&amp;" "&amp;B97&amp;" "&amp;C97</f>
        <v>1986 BMW M635CSI</v>
      </c>
    </row>
    <row r="98" spans="1:27" ht="12.95" customHeight="1">
      <c r="A98" s="394">
        <v>2010</v>
      </c>
      <c r="B98" s="394" t="s">
        <v>805</v>
      </c>
      <c r="C98" s="394" t="s">
        <v>821</v>
      </c>
      <c r="D98" s="395">
        <v>82000</v>
      </c>
      <c r="E98" s="394" t="s">
        <v>349</v>
      </c>
      <c r="F98" s="394">
        <v>508</v>
      </c>
      <c r="G98" s="396">
        <v>7</v>
      </c>
      <c r="H98" s="396">
        <v>4.3</v>
      </c>
      <c r="I98" s="396">
        <v>7.1</v>
      </c>
      <c r="J98" s="396">
        <v>8.3000000000000007</v>
      </c>
      <c r="K98" s="396">
        <v>4.5</v>
      </c>
      <c r="L98" s="394" t="s">
        <v>1093</v>
      </c>
      <c r="M98" s="394"/>
      <c r="N98" s="389">
        <f>AVERAGE(H98,I98,K98)</f>
        <v>5.3</v>
      </c>
      <c r="O98" s="397">
        <v>5368</v>
      </c>
      <c r="P98" s="398">
        <v>2197</v>
      </c>
      <c r="Q98" s="397">
        <v>1764</v>
      </c>
      <c r="R98" s="397">
        <v>2933</v>
      </c>
      <c r="S98" s="397">
        <v>1660</v>
      </c>
      <c r="T98" s="397">
        <v>1672</v>
      </c>
      <c r="U98" s="397">
        <v>275</v>
      </c>
      <c r="V98" s="397">
        <v>315</v>
      </c>
      <c r="W98" s="397">
        <v>395</v>
      </c>
      <c r="X98" s="397">
        <v>385</v>
      </c>
      <c r="Y98" s="399">
        <f>S98-('FMTC Main'!$E$22-U98)</f>
        <v>1935</v>
      </c>
      <c r="Z98" s="399">
        <f>T98-('FMTC Main'!$E$27-V98)</f>
        <v>1987</v>
      </c>
      <c r="AA98" s="400" t="str">
        <f>A98&amp;" "&amp;B98&amp;" "&amp;C98</f>
        <v>2010 BMW X5 M</v>
      </c>
    </row>
    <row r="99" spans="1:27" ht="12.95" customHeight="1">
      <c r="A99" s="394">
        <v>2010</v>
      </c>
      <c r="B99" s="394" t="s">
        <v>805</v>
      </c>
      <c r="C99" s="394" t="s">
        <v>683</v>
      </c>
      <c r="D99" s="395">
        <v>85000</v>
      </c>
      <c r="E99" s="394" t="s">
        <v>349</v>
      </c>
      <c r="F99" s="394">
        <v>506</v>
      </c>
      <c r="G99" s="396">
        <v>7.2</v>
      </c>
      <c r="H99" s="396">
        <v>4.3</v>
      </c>
      <c r="I99" s="396">
        <v>7</v>
      </c>
      <c r="J99" s="396">
        <v>8.1999999999999993</v>
      </c>
      <c r="K99" s="396">
        <v>4.5</v>
      </c>
      <c r="L99" s="394" t="s">
        <v>1093</v>
      </c>
      <c r="M99" s="394"/>
      <c r="N99" s="389">
        <f>AVERAGE(H99,I99,K99)</f>
        <v>5.2666666666666666</v>
      </c>
      <c r="O99" s="397">
        <v>5324</v>
      </c>
      <c r="P99" s="398">
        <v>2195</v>
      </c>
      <c r="Q99" s="397">
        <v>1984</v>
      </c>
      <c r="R99" s="397">
        <v>2933</v>
      </c>
      <c r="S99" s="397">
        <v>1660</v>
      </c>
      <c r="T99" s="397">
        <v>1672</v>
      </c>
      <c r="U99" s="397">
        <v>275</v>
      </c>
      <c r="V99" s="397">
        <v>315</v>
      </c>
      <c r="W99" s="397">
        <v>395</v>
      </c>
      <c r="X99" s="397">
        <v>385</v>
      </c>
      <c r="Y99" s="399">
        <f>S99-('FMTC Main'!$E$22-U99)</f>
        <v>1935</v>
      </c>
      <c r="Z99" s="399">
        <f>T99-('FMTC Main'!$E$27-V99)</f>
        <v>1987</v>
      </c>
      <c r="AA99" s="400" t="str">
        <f>A99&amp;" "&amp;B99&amp;" "&amp;C99</f>
        <v>2010 BMW X6 M</v>
      </c>
    </row>
    <row r="100" spans="1:27" ht="12.95" customHeight="1">
      <c r="A100" s="394">
        <v>2002</v>
      </c>
      <c r="B100" s="394" t="s">
        <v>805</v>
      </c>
      <c r="C100" s="394" t="s">
        <v>812</v>
      </c>
      <c r="D100" s="395">
        <v>15000</v>
      </c>
      <c r="E100" s="394" t="s">
        <v>1088</v>
      </c>
      <c r="F100" s="394">
        <v>478</v>
      </c>
      <c r="G100" s="396">
        <v>6.2</v>
      </c>
      <c r="H100" s="396">
        <v>5</v>
      </c>
      <c r="I100" s="396">
        <v>7.2</v>
      </c>
      <c r="J100" s="396">
        <v>7.3</v>
      </c>
      <c r="K100" s="396">
        <v>5</v>
      </c>
      <c r="L100" s="394" t="s">
        <v>1093</v>
      </c>
      <c r="M100" s="394"/>
      <c r="N100" s="389">
        <f>AVERAGE(H100,I100,K100)</f>
        <v>5.7333333333333334</v>
      </c>
      <c r="O100" s="397">
        <v>2990</v>
      </c>
      <c r="P100" s="398">
        <v>1740</v>
      </c>
      <c r="Q100" s="397">
        <v>1282</v>
      </c>
      <c r="R100" s="397">
        <v>2459</v>
      </c>
      <c r="S100" s="397">
        <v>1422</v>
      </c>
      <c r="T100" s="397">
        <v>1498</v>
      </c>
      <c r="U100" s="397">
        <v>225</v>
      </c>
      <c r="V100" s="397">
        <v>245</v>
      </c>
      <c r="W100" s="397">
        <v>315</v>
      </c>
      <c r="X100" s="397">
        <v>312</v>
      </c>
      <c r="Y100" s="399">
        <f>S100-('FMTC Main'!$E$22-U100)</f>
        <v>1647</v>
      </c>
      <c r="Z100" s="399">
        <f>T100-('FMTC Main'!$E$27-V100)</f>
        <v>1743</v>
      </c>
      <c r="AA100" s="400" t="str">
        <f>A100&amp;" "&amp;B100&amp;" "&amp;C100</f>
        <v>2002 BMW Z3 M Coupe</v>
      </c>
    </row>
    <row r="101" spans="1:27" ht="12.95" customHeight="1">
      <c r="A101" s="394">
        <v>2010</v>
      </c>
      <c r="B101" s="394" t="s">
        <v>805</v>
      </c>
      <c r="C101" s="394" t="s">
        <v>822</v>
      </c>
      <c r="D101" s="395">
        <v>900000</v>
      </c>
      <c r="E101" s="394" t="s">
        <v>1094</v>
      </c>
      <c r="F101" s="394">
        <v>721</v>
      </c>
      <c r="G101" s="396">
        <v>5.8</v>
      </c>
      <c r="H101" s="396">
        <v>7.6</v>
      </c>
      <c r="I101" s="396">
        <v>8.6999999999999993</v>
      </c>
      <c r="J101" s="396">
        <v>7.9</v>
      </c>
      <c r="K101" s="396">
        <v>7.6</v>
      </c>
      <c r="L101" s="394" t="s">
        <v>1093</v>
      </c>
      <c r="M101" s="394"/>
      <c r="N101" s="389">
        <f>AVERAGE(H101,I101,K101)</f>
        <v>7.9666666666666659</v>
      </c>
      <c r="O101" s="397">
        <v>2646</v>
      </c>
      <c r="P101" s="398">
        <v>2010</v>
      </c>
      <c r="Q101" s="397">
        <v>1210</v>
      </c>
      <c r="R101" s="397">
        <v>2496</v>
      </c>
      <c r="S101" s="397">
        <v>1605</v>
      </c>
      <c r="T101" s="397">
        <v>1630</v>
      </c>
      <c r="U101" s="397">
        <v>285</v>
      </c>
      <c r="V101" s="397">
        <v>300</v>
      </c>
      <c r="W101" s="397">
        <v>378</v>
      </c>
      <c r="X101" s="397">
        <v>355</v>
      </c>
      <c r="Y101" s="399">
        <f>S101-('FMTC Main'!$E$22-U101)</f>
        <v>1890</v>
      </c>
      <c r="Z101" s="399">
        <f>T101-('FMTC Main'!$E$27-V101)</f>
        <v>1930</v>
      </c>
      <c r="AA101" s="400" t="str">
        <f>A101&amp;" "&amp;B101&amp;" "&amp;C101</f>
        <v>2010 BMW Z4 GT3</v>
      </c>
    </row>
    <row r="102" spans="1:27" ht="12.95" customHeight="1">
      <c r="A102" s="394">
        <v>2008</v>
      </c>
      <c r="B102" s="394" t="s">
        <v>805</v>
      </c>
      <c r="C102" s="394" t="s">
        <v>110</v>
      </c>
      <c r="D102" s="395">
        <v>46000</v>
      </c>
      <c r="E102" s="394" t="s">
        <v>1088</v>
      </c>
      <c r="F102" s="394">
        <v>492</v>
      </c>
      <c r="G102" s="396">
        <v>6.7</v>
      </c>
      <c r="H102" s="396">
        <v>5.2</v>
      </c>
      <c r="I102" s="396">
        <v>7.2</v>
      </c>
      <c r="J102" s="396">
        <v>7.3</v>
      </c>
      <c r="K102" s="396">
        <v>5.0999999999999996</v>
      </c>
      <c r="L102" s="394" t="s">
        <v>1093</v>
      </c>
      <c r="M102" s="394"/>
      <c r="N102" s="389">
        <f>AVERAGE(H102,I102,K102)</f>
        <v>5.833333333333333</v>
      </c>
      <c r="O102" s="397">
        <v>3230</v>
      </c>
      <c r="P102" s="398">
        <v>1781</v>
      </c>
      <c r="Q102" s="397">
        <v>1287</v>
      </c>
      <c r="R102" s="397">
        <v>2497</v>
      </c>
      <c r="S102" s="397">
        <v>1486</v>
      </c>
      <c r="T102" s="397">
        <v>1516</v>
      </c>
      <c r="U102" s="397">
        <v>225</v>
      </c>
      <c r="V102" s="397">
        <v>255</v>
      </c>
      <c r="W102" s="397">
        <v>345</v>
      </c>
      <c r="X102" s="397">
        <v>328</v>
      </c>
      <c r="Y102" s="399">
        <f>S102-('FMTC Main'!$E$22-U102)</f>
        <v>1711</v>
      </c>
      <c r="Z102" s="399">
        <f>T102-('FMTC Main'!$E$27-V102)</f>
        <v>1771</v>
      </c>
      <c r="AA102" s="400" t="str">
        <f>A102&amp;" "&amp;B102&amp;" "&amp;C102</f>
        <v>2008 BMW Z4 M Coupe</v>
      </c>
    </row>
    <row r="103" spans="1:27" ht="12.95" customHeight="1">
      <c r="A103" s="394">
        <v>2008</v>
      </c>
      <c r="B103" s="394" t="s">
        <v>805</v>
      </c>
      <c r="C103" s="394" t="s">
        <v>817</v>
      </c>
      <c r="D103" s="395">
        <v>46000</v>
      </c>
      <c r="E103" s="394" t="s">
        <v>1088</v>
      </c>
      <c r="F103" s="394">
        <v>492</v>
      </c>
      <c r="G103" s="396">
        <v>6.7</v>
      </c>
      <c r="H103" s="396">
        <v>5.2</v>
      </c>
      <c r="I103" s="396">
        <v>7.2</v>
      </c>
      <c r="J103" s="396">
        <v>7.3</v>
      </c>
      <c r="K103" s="396">
        <v>5.0999999999999996</v>
      </c>
      <c r="L103" s="394" t="s">
        <v>1093</v>
      </c>
      <c r="M103" s="394" t="s">
        <v>1095</v>
      </c>
      <c r="N103" s="389">
        <f>AVERAGE(H103,I103,K103)</f>
        <v>5.833333333333333</v>
      </c>
      <c r="O103" s="397">
        <v>3230</v>
      </c>
      <c r="P103" s="398">
        <v>1781</v>
      </c>
      <c r="Q103" s="397">
        <v>1287</v>
      </c>
      <c r="R103" s="397">
        <v>2497</v>
      </c>
      <c r="S103" s="397">
        <v>1486</v>
      </c>
      <c r="T103" s="397">
        <v>1516</v>
      </c>
      <c r="U103" s="397">
        <v>225</v>
      </c>
      <c r="V103" s="397">
        <v>255</v>
      </c>
      <c r="W103" s="397">
        <v>345</v>
      </c>
      <c r="X103" s="397">
        <v>328</v>
      </c>
      <c r="Y103" s="399">
        <f>S103-('FMTC Main'!$E$22-U103)</f>
        <v>1711</v>
      </c>
      <c r="Z103" s="399">
        <f>T103-('FMTC Main'!$E$27-V103)</f>
        <v>1771</v>
      </c>
      <c r="AA103" s="400" t="str">
        <f>A103&amp;" "&amp;B103&amp;" "&amp;C103</f>
        <v>2008 BMW Z4 M Coupe BMW Design Art Car</v>
      </c>
    </row>
    <row r="104" spans="1:27" ht="12.95" customHeight="1">
      <c r="A104" s="394">
        <v>2011</v>
      </c>
      <c r="B104" s="394" t="s">
        <v>805</v>
      </c>
      <c r="C104" s="394" t="s">
        <v>824</v>
      </c>
      <c r="D104" s="395">
        <v>52000</v>
      </c>
      <c r="E104" s="394" t="s">
        <v>1088</v>
      </c>
      <c r="F104" s="394">
        <v>498</v>
      </c>
      <c r="G104" s="396">
        <v>7.1</v>
      </c>
      <c r="H104" s="396">
        <v>5.0999999999999996</v>
      </c>
      <c r="I104" s="396">
        <v>7.2</v>
      </c>
      <c r="J104" s="396">
        <v>7.4</v>
      </c>
      <c r="K104" s="396">
        <v>4.9000000000000004</v>
      </c>
      <c r="L104" s="394" t="s">
        <v>1093</v>
      </c>
      <c r="M104" s="394"/>
      <c r="N104" s="389">
        <f>AVERAGE(H104,I104,K104)</f>
        <v>5.7333333333333343</v>
      </c>
      <c r="O104" s="397">
        <v>3362</v>
      </c>
      <c r="P104" s="398">
        <v>1790</v>
      </c>
      <c r="Q104" s="397">
        <v>1284</v>
      </c>
      <c r="R104" s="397">
        <v>2496</v>
      </c>
      <c r="S104" s="397">
        <v>1511</v>
      </c>
      <c r="T104" s="397">
        <v>1537</v>
      </c>
      <c r="U104" s="397">
        <v>225</v>
      </c>
      <c r="V104" s="397">
        <v>255</v>
      </c>
      <c r="W104" s="397">
        <v>348</v>
      </c>
      <c r="X104" s="397">
        <v>324</v>
      </c>
      <c r="Y104" s="399">
        <f>S104-('FMTC Main'!$E$22-U104)</f>
        <v>1736</v>
      </c>
      <c r="Z104" s="399">
        <f>T104-('FMTC Main'!$E$27-V104)</f>
        <v>1792</v>
      </c>
      <c r="AA104" s="400" t="str">
        <f>A104&amp;" "&amp;B104&amp;" "&amp;C104</f>
        <v>2011 BMW Z4 sDrive 3.5is</v>
      </c>
    </row>
    <row r="105" spans="1:27" ht="12.95" customHeight="1">
      <c r="A105" s="394">
        <v>2000</v>
      </c>
      <c r="B105" s="394" t="s">
        <v>805</v>
      </c>
      <c r="C105" s="394" t="s">
        <v>810</v>
      </c>
      <c r="D105" s="395">
        <v>125000</v>
      </c>
      <c r="E105" s="394" t="s">
        <v>1088</v>
      </c>
      <c r="F105" s="394">
        <v>477</v>
      </c>
      <c r="G105" s="396">
        <v>6.5</v>
      </c>
      <c r="H105" s="396">
        <v>4.8</v>
      </c>
      <c r="I105" s="396">
        <v>7.3</v>
      </c>
      <c r="J105" s="396">
        <v>7.3</v>
      </c>
      <c r="K105" s="396">
        <v>4.8</v>
      </c>
      <c r="L105" s="394" t="s">
        <v>1093</v>
      </c>
      <c r="M105" s="394"/>
      <c r="N105" s="389">
        <f>AVERAGE(H105,I105,K105)</f>
        <v>5.6333333333333329</v>
      </c>
      <c r="O105" s="397">
        <v>3494</v>
      </c>
      <c r="P105" s="398">
        <v>1831</v>
      </c>
      <c r="Q105" s="397">
        <v>1318</v>
      </c>
      <c r="R105" s="397">
        <v>2505</v>
      </c>
      <c r="S105" s="397">
        <v>1552</v>
      </c>
      <c r="T105" s="397">
        <v>1568</v>
      </c>
      <c r="U105" s="397">
        <v>245</v>
      </c>
      <c r="V105" s="397">
        <v>275</v>
      </c>
      <c r="W105" s="397">
        <v>334</v>
      </c>
      <c r="X105" s="397">
        <v>328</v>
      </c>
      <c r="Y105" s="399">
        <f>S105-('FMTC Main'!$E$22-U105)</f>
        <v>1797</v>
      </c>
      <c r="Z105" s="399">
        <f>T105-('FMTC Main'!$E$27-V105)</f>
        <v>1843</v>
      </c>
      <c r="AA105" s="400" t="str">
        <f>A105&amp;" "&amp;B105&amp;" "&amp;C105</f>
        <v>2000 BMW Z8</v>
      </c>
    </row>
    <row r="106" spans="1:27" ht="12.95" customHeight="1">
      <c r="A106" s="394">
        <v>1992</v>
      </c>
      <c r="B106" s="394" t="s">
        <v>111</v>
      </c>
      <c r="C106" s="394" t="s">
        <v>643</v>
      </c>
      <c r="D106" s="395">
        <v>300000</v>
      </c>
      <c r="E106" s="394" t="s">
        <v>1092</v>
      </c>
      <c r="F106" s="394">
        <v>666</v>
      </c>
      <c r="G106" s="396">
        <v>9.5</v>
      </c>
      <c r="H106" s="396">
        <v>5.9</v>
      </c>
      <c r="I106" s="396">
        <v>8.6999999999999993</v>
      </c>
      <c r="J106" s="396">
        <v>9.1</v>
      </c>
      <c r="K106" s="396">
        <v>5.6</v>
      </c>
      <c r="L106" s="394" t="s">
        <v>1097</v>
      </c>
      <c r="M106" s="394"/>
      <c r="N106" s="389">
        <f>AVERAGE(H106,I106,K106)</f>
        <v>6.7333333333333334</v>
      </c>
      <c r="O106" s="397">
        <v>3616</v>
      </c>
      <c r="P106" s="398">
        <v>1940</v>
      </c>
      <c r="Q106" s="397">
        <v>1125</v>
      </c>
      <c r="R106" s="397">
        <v>2550</v>
      </c>
      <c r="S106" s="397">
        <v>1550</v>
      </c>
      <c r="T106" s="397">
        <v>1618</v>
      </c>
      <c r="U106" s="397">
        <v>245</v>
      </c>
      <c r="V106" s="397">
        <v>325</v>
      </c>
      <c r="W106" s="397">
        <v>332</v>
      </c>
      <c r="X106" s="397">
        <v>332</v>
      </c>
      <c r="Y106" s="399">
        <f>S106-('FMTC Main'!$E$22-U106)</f>
        <v>1795</v>
      </c>
      <c r="Z106" s="399">
        <f>T106-('FMTC Main'!$E$27-V106)</f>
        <v>1943</v>
      </c>
      <c r="AA106" s="400" t="str">
        <f>A106&amp;" "&amp;B106&amp;" "&amp;C106</f>
        <v>1992 Bugatti EB110 SS</v>
      </c>
    </row>
    <row r="107" spans="1:27" ht="12.95" customHeight="1">
      <c r="A107" s="394">
        <v>2009</v>
      </c>
      <c r="B107" s="394" t="s">
        <v>111</v>
      </c>
      <c r="C107" s="394" t="s">
        <v>112</v>
      </c>
      <c r="D107" s="395">
        <v>1400000</v>
      </c>
      <c r="E107" s="394" t="s">
        <v>1094</v>
      </c>
      <c r="F107" s="394">
        <v>756</v>
      </c>
      <c r="G107" s="396">
        <v>10</v>
      </c>
      <c r="H107" s="396">
        <v>5.9</v>
      </c>
      <c r="I107" s="396">
        <v>9.6</v>
      </c>
      <c r="J107" s="396">
        <v>9.6999999999999993</v>
      </c>
      <c r="K107" s="396">
        <v>5.9</v>
      </c>
      <c r="L107" s="394" t="s">
        <v>1097</v>
      </c>
      <c r="M107" s="394"/>
      <c r="N107" s="389">
        <f>AVERAGE(H107,I107,K107)</f>
        <v>7.1333333333333329</v>
      </c>
      <c r="O107" s="397">
        <v>4470</v>
      </c>
      <c r="P107" s="398">
        <v>1998</v>
      </c>
      <c r="Q107" s="397">
        <v>1203</v>
      </c>
      <c r="R107" s="397">
        <v>2710</v>
      </c>
      <c r="S107" s="397">
        <v>1725</v>
      </c>
      <c r="T107" s="397">
        <v>1630</v>
      </c>
      <c r="U107" s="397">
        <v>265</v>
      </c>
      <c r="V107" s="397">
        <v>365</v>
      </c>
      <c r="W107" s="397">
        <v>400</v>
      </c>
      <c r="X107" s="397">
        <v>380</v>
      </c>
      <c r="Y107" s="399">
        <f>S107-('FMTC Main'!$E$22-U107)</f>
        <v>1990</v>
      </c>
      <c r="Z107" s="399">
        <f>T107-('FMTC Main'!$E$27-V107)</f>
        <v>1995</v>
      </c>
      <c r="AA107" s="400" t="str">
        <f>A107&amp;" "&amp;B107&amp;" "&amp;C107</f>
        <v>2009 Bugatti Veyron 16.4</v>
      </c>
    </row>
    <row r="108" spans="1:27" ht="12.95" customHeight="1">
      <c r="A108" s="394">
        <v>2011</v>
      </c>
      <c r="B108" s="394" t="s">
        <v>111</v>
      </c>
      <c r="C108" s="394" t="s">
        <v>826</v>
      </c>
      <c r="D108" s="395">
        <v>2200000</v>
      </c>
      <c r="E108" s="394" t="s">
        <v>1091</v>
      </c>
      <c r="F108" s="394">
        <v>816</v>
      </c>
      <c r="G108" s="396">
        <v>10</v>
      </c>
      <c r="H108" s="396">
        <v>6.3</v>
      </c>
      <c r="I108" s="396">
        <v>10</v>
      </c>
      <c r="J108" s="396">
        <v>10</v>
      </c>
      <c r="K108" s="396">
        <v>6.2</v>
      </c>
      <c r="L108" s="394" t="s">
        <v>1097</v>
      </c>
      <c r="M108" s="394" t="s">
        <v>1108</v>
      </c>
      <c r="N108" s="389">
        <f>AVERAGE(H108,I108,K108)</f>
        <v>7.5</v>
      </c>
      <c r="O108" s="397">
        <v>4044</v>
      </c>
      <c r="P108" s="398">
        <v>1999</v>
      </c>
      <c r="Q108" s="397">
        <v>1212</v>
      </c>
      <c r="R108" s="397">
        <v>2710</v>
      </c>
      <c r="S108" s="397">
        <v>1715</v>
      </c>
      <c r="T108" s="397">
        <v>1618</v>
      </c>
      <c r="U108" s="397">
        <v>265</v>
      </c>
      <c r="V108" s="397">
        <v>365</v>
      </c>
      <c r="W108" s="397">
        <v>401</v>
      </c>
      <c r="X108" s="397">
        <v>381</v>
      </c>
      <c r="Y108" s="399">
        <f>S108-('FMTC Main'!$E$22-U108)</f>
        <v>1980</v>
      </c>
      <c r="Z108" s="399">
        <f>T108-('FMTC Main'!$E$27-V108)</f>
        <v>1983</v>
      </c>
      <c r="AA108" s="400" t="str">
        <f>A108&amp;" "&amp;B108&amp;" "&amp;C108</f>
        <v>2011 Bugatti Veyron Super Sport</v>
      </c>
    </row>
    <row r="109" spans="1:27" ht="12.95" customHeight="1">
      <c r="A109" s="394">
        <v>1970</v>
      </c>
      <c r="B109" s="394" t="s">
        <v>325</v>
      </c>
      <c r="C109" s="394" t="s">
        <v>827</v>
      </c>
      <c r="D109" s="395">
        <v>77000</v>
      </c>
      <c r="E109" s="394" t="s">
        <v>1085</v>
      </c>
      <c r="F109" s="394">
        <v>301</v>
      </c>
      <c r="G109" s="396">
        <v>5.0999999999999996</v>
      </c>
      <c r="H109" s="396">
        <v>3.5</v>
      </c>
      <c r="I109" s="396">
        <v>6.5</v>
      </c>
      <c r="J109" s="396">
        <v>5.9</v>
      </c>
      <c r="K109" s="396">
        <v>3.5</v>
      </c>
      <c r="L109" s="394" t="s">
        <v>1075</v>
      </c>
      <c r="M109" s="394" t="s">
        <v>1100</v>
      </c>
      <c r="N109" s="389">
        <f>AVERAGE(H109,I109,K109)</f>
        <v>4.5</v>
      </c>
      <c r="O109" s="397">
        <v>3919</v>
      </c>
      <c r="P109" s="398">
        <v>1963</v>
      </c>
      <c r="Q109" s="397">
        <v>1346</v>
      </c>
      <c r="R109" s="397">
        <v>2845</v>
      </c>
      <c r="S109" s="397">
        <v>1527</v>
      </c>
      <c r="T109" s="397">
        <v>1499</v>
      </c>
      <c r="U109" s="397">
        <v>235</v>
      </c>
      <c r="V109" s="397">
        <v>235</v>
      </c>
      <c r="W109" s="397">
        <v>279</v>
      </c>
      <c r="X109" s="397">
        <v>229</v>
      </c>
      <c r="Y109" s="399">
        <f>S109-('FMTC Main'!$E$22-U109)</f>
        <v>1762</v>
      </c>
      <c r="Z109" s="399">
        <f>T109-('FMTC Main'!$E$27-V109)</f>
        <v>1734</v>
      </c>
      <c r="AA109" s="400" t="str">
        <f>A109&amp;" "&amp;B109&amp;" "&amp;C109</f>
        <v>1970 Buick GSX</v>
      </c>
    </row>
    <row r="110" spans="1:27" ht="12.95" customHeight="1">
      <c r="A110" s="394">
        <v>1987</v>
      </c>
      <c r="B110" s="394" t="s">
        <v>325</v>
      </c>
      <c r="C110" s="394" t="s">
        <v>326</v>
      </c>
      <c r="D110" s="395">
        <v>60000</v>
      </c>
      <c r="E110" s="394" t="s">
        <v>1087</v>
      </c>
      <c r="F110" s="394">
        <v>403</v>
      </c>
      <c r="G110" s="396">
        <v>5.4</v>
      </c>
      <c r="H110" s="396">
        <v>4.5</v>
      </c>
      <c r="I110" s="396">
        <v>6.7</v>
      </c>
      <c r="J110" s="396">
        <v>6.6</v>
      </c>
      <c r="K110" s="396">
        <v>4.5</v>
      </c>
      <c r="L110" s="394" t="s">
        <v>1075</v>
      </c>
      <c r="M110" s="394"/>
      <c r="N110" s="389">
        <f>AVERAGE(H110,I110,K110)</f>
        <v>5.2333333333333334</v>
      </c>
      <c r="O110" s="397">
        <v>3545</v>
      </c>
      <c r="P110" s="398">
        <v>1918</v>
      </c>
      <c r="Q110" s="397">
        <v>1387</v>
      </c>
      <c r="R110" s="397">
        <v>2746</v>
      </c>
      <c r="S110" s="397">
        <v>1509</v>
      </c>
      <c r="T110" s="397">
        <v>1506</v>
      </c>
      <c r="U110" s="397">
        <v>245</v>
      </c>
      <c r="V110" s="397">
        <v>255</v>
      </c>
      <c r="W110" s="397">
        <v>267</v>
      </c>
      <c r="X110" s="397">
        <v>241</v>
      </c>
      <c r="Y110" s="399">
        <f>S110-('FMTC Main'!$E$22-U110)</f>
        <v>1754</v>
      </c>
      <c r="Z110" s="399">
        <f>T110-('FMTC Main'!$E$27-V110)</f>
        <v>1761</v>
      </c>
      <c r="AA110" s="400" t="str">
        <f>A110&amp;" "&amp;B110&amp;" "&amp;C110</f>
        <v>1987 Buick Regal GNX</v>
      </c>
    </row>
    <row r="111" spans="1:27" ht="12.95" customHeight="1">
      <c r="A111" s="394">
        <v>2002</v>
      </c>
      <c r="B111" s="394" t="s">
        <v>113</v>
      </c>
      <c r="C111" s="394" t="s">
        <v>327</v>
      </c>
      <c r="D111" s="395">
        <v>2200000</v>
      </c>
      <c r="E111" s="394" t="s">
        <v>1086</v>
      </c>
      <c r="F111" s="394">
        <v>975</v>
      </c>
      <c r="G111" s="396">
        <v>9.1</v>
      </c>
      <c r="H111" s="396">
        <v>9.8000000000000007</v>
      </c>
      <c r="I111" s="396">
        <v>9.8000000000000007</v>
      </c>
      <c r="J111" s="396">
        <v>8.6999999999999993</v>
      </c>
      <c r="K111" s="396">
        <v>9.8000000000000007</v>
      </c>
      <c r="L111" s="394" t="s">
        <v>1075</v>
      </c>
      <c r="M111" s="394"/>
      <c r="N111" s="389">
        <f>AVERAGE(H111,I111,K111)</f>
        <v>9.8000000000000007</v>
      </c>
      <c r="O111" s="397">
        <v>2011</v>
      </c>
      <c r="P111" s="398">
        <v>2000</v>
      </c>
      <c r="Q111" s="397">
        <v>1020</v>
      </c>
      <c r="R111" s="397">
        <v>2743</v>
      </c>
      <c r="S111" s="397">
        <v>1670</v>
      </c>
      <c r="T111" s="397">
        <v>1630</v>
      </c>
      <c r="U111" s="397">
        <v>330</v>
      </c>
      <c r="V111" s="397">
        <v>370</v>
      </c>
      <c r="W111" s="397">
        <v>380</v>
      </c>
      <c r="X111" s="397">
        <v>380</v>
      </c>
      <c r="Y111" s="399">
        <f>S111-('FMTC Main'!$E$22-U111)</f>
        <v>2000</v>
      </c>
      <c r="Z111" s="399">
        <f>T111-('FMTC Main'!$E$27-V111)</f>
        <v>2000</v>
      </c>
      <c r="AA111" s="400" t="str">
        <f>A111&amp;" "&amp;B111&amp;" "&amp;C111</f>
        <v>2002 Cadillac #6 Team Cadillac Northstar LMP-02</v>
      </c>
    </row>
    <row r="112" spans="1:27" ht="12.95" customHeight="1">
      <c r="A112" s="394">
        <v>2004</v>
      </c>
      <c r="B112" s="394" t="s">
        <v>113</v>
      </c>
      <c r="C112" s="394" t="s">
        <v>114</v>
      </c>
      <c r="D112" s="395">
        <v>32000</v>
      </c>
      <c r="E112" s="394" t="s">
        <v>1088</v>
      </c>
      <c r="F112" s="394">
        <v>462</v>
      </c>
      <c r="G112" s="396">
        <v>7</v>
      </c>
      <c r="H112" s="396">
        <v>4.8</v>
      </c>
      <c r="I112" s="396">
        <v>7.3</v>
      </c>
      <c r="J112" s="396">
        <v>6.9</v>
      </c>
      <c r="K112" s="396">
        <v>4.9000000000000004</v>
      </c>
      <c r="L112" s="394" t="s">
        <v>1075</v>
      </c>
      <c r="M112" s="394"/>
      <c r="N112" s="389">
        <f>AVERAGE(H112,I112,K112)</f>
        <v>5.666666666666667</v>
      </c>
      <c r="O112" s="397">
        <v>3849</v>
      </c>
      <c r="P112" s="398">
        <v>1793</v>
      </c>
      <c r="Q112" s="397">
        <v>1455</v>
      </c>
      <c r="R112" s="397">
        <v>2880</v>
      </c>
      <c r="S112" s="397">
        <v>1552</v>
      </c>
      <c r="T112" s="397">
        <v>1559</v>
      </c>
      <c r="U112" s="397">
        <v>245</v>
      </c>
      <c r="V112" s="397">
        <v>245</v>
      </c>
      <c r="W112" s="397">
        <v>355</v>
      </c>
      <c r="X112" s="397">
        <v>365</v>
      </c>
      <c r="Y112" s="399">
        <f>S112-('FMTC Main'!$E$22-U112)</f>
        <v>1797</v>
      </c>
      <c r="Z112" s="399">
        <f>T112-('FMTC Main'!$E$27-V112)</f>
        <v>1804</v>
      </c>
      <c r="AA112" s="400" t="str">
        <f>A112&amp;" "&amp;B112&amp;" "&amp;C112</f>
        <v>2004 Cadillac CTS-V</v>
      </c>
    </row>
    <row r="113" spans="1:27" ht="12.95" customHeight="1">
      <c r="A113" s="394">
        <v>2009</v>
      </c>
      <c r="B113" s="394" t="s">
        <v>113</v>
      </c>
      <c r="C113" s="394" t="s">
        <v>114</v>
      </c>
      <c r="D113" s="395">
        <v>58000</v>
      </c>
      <c r="E113" s="394" t="s">
        <v>349</v>
      </c>
      <c r="F113" s="394">
        <v>517</v>
      </c>
      <c r="G113" s="396">
        <v>8</v>
      </c>
      <c r="H113" s="396">
        <v>4.9000000000000004</v>
      </c>
      <c r="I113" s="396">
        <v>7.7</v>
      </c>
      <c r="J113" s="396">
        <v>7</v>
      </c>
      <c r="K113" s="396">
        <v>5</v>
      </c>
      <c r="L113" s="394" t="s">
        <v>1075</v>
      </c>
      <c r="M113" s="394"/>
      <c r="N113" s="389">
        <f>AVERAGE(H113,I113,K113)</f>
        <v>5.8666666666666671</v>
      </c>
      <c r="O113" s="397">
        <v>4200</v>
      </c>
      <c r="P113" s="398">
        <v>1842</v>
      </c>
      <c r="Q113" s="397">
        <v>1473</v>
      </c>
      <c r="R113" s="397">
        <v>2880</v>
      </c>
      <c r="S113" s="397">
        <v>1570</v>
      </c>
      <c r="T113" s="397">
        <v>1575</v>
      </c>
      <c r="U113" s="397">
        <v>255</v>
      </c>
      <c r="V113" s="397">
        <v>285</v>
      </c>
      <c r="W113" s="397">
        <v>380</v>
      </c>
      <c r="X113" s="397">
        <v>373</v>
      </c>
      <c r="Y113" s="399">
        <f>S113-('FMTC Main'!$E$22-U113)</f>
        <v>1825</v>
      </c>
      <c r="Z113" s="399">
        <f>T113-('FMTC Main'!$E$27-V113)</f>
        <v>1860</v>
      </c>
      <c r="AA113" s="400" t="str">
        <f>A113&amp;" "&amp;B113&amp;" "&amp;C113</f>
        <v>2009 Cadillac CTS-V</v>
      </c>
    </row>
    <row r="114" spans="1:27" ht="12.95" customHeight="1">
      <c r="A114" s="394">
        <v>2011</v>
      </c>
      <c r="B114" s="394" t="s">
        <v>113</v>
      </c>
      <c r="C114" s="394" t="s">
        <v>828</v>
      </c>
      <c r="D114" s="395">
        <v>58000</v>
      </c>
      <c r="E114" s="394" t="s">
        <v>349</v>
      </c>
      <c r="F114" s="394">
        <v>528</v>
      </c>
      <c r="G114" s="396">
        <v>8.5</v>
      </c>
      <c r="H114" s="396">
        <v>5</v>
      </c>
      <c r="I114" s="396">
        <v>7.9</v>
      </c>
      <c r="J114" s="396">
        <v>7.2</v>
      </c>
      <c r="K114" s="396">
        <v>5</v>
      </c>
      <c r="L114" s="394" t="s">
        <v>1075</v>
      </c>
      <c r="M114" s="394"/>
      <c r="N114" s="389">
        <f>AVERAGE(H114,I114,K114)</f>
        <v>5.9666666666666659</v>
      </c>
      <c r="O114" s="397">
        <v>3931</v>
      </c>
      <c r="P114" s="398">
        <v>1882</v>
      </c>
      <c r="Q114" s="397">
        <v>1420</v>
      </c>
      <c r="R114" s="397">
        <v>2880</v>
      </c>
      <c r="S114" s="397">
        <v>1570</v>
      </c>
      <c r="T114" s="397">
        <v>1595</v>
      </c>
      <c r="U114" s="397">
        <v>255</v>
      </c>
      <c r="V114" s="397">
        <v>285</v>
      </c>
      <c r="W114" s="397">
        <v>380</v>
      </c>
      <c r="X114" s="397">
        <v>373</v>
      </c>
      <c r="Y114" s="399">
        <f>S114-('FMTC Main'!$E$22-U114)</f>
        <v>1825</v>
      </c>
      <c r="Z114" s="399">
        <f>T114-('FMTC Main'!$E$27-V114)</f>
        <v>1880</v>
      </c>
      <c r="AA114" s="400" t="str">
        <f>A114&amp;" "&amp;B114&amp;" "&amp;C114</f>
        <v>2011 Cadillac CTS-V Coupe</v>
      </c>
    </row>
    <row r="115" spans="1:27" ht="12.95" customHeight="1">
      <c r="A115" s="394">
        <v>2011</v>
      </c>
      <c r="B115" s="394" t="s">
        <v>115</v>
      </c>
      <c r="C115" s="394" t="s">
        <v>838</v>
      </c>
      <c r="D115" s="395">
        <v>900000</v>
      </c>
      <c r="E115" s="394" t="s">
        <v>1094</v>
      </c>
      <c r="F115" s="394">
        <v>730</v>
      </c>
      <c r="G115" s="396">
        <v>9.1999999999999993</v>
      </c>
      <c r="H115" s="396">
        <v>7.2</v>
      </c>
      <c r="I115" s="396">
        <v>8.6</v>
      </c>
      <c r="J115" s="396">
        <v>7.6</v>
      </c>
      <c r="K115" s="396">
        <v>7.1</v>
      </c>
      <c r="L115" s="394" t="s">
        <v>1075</v>
      </c>
      <c r="M115" s="394"/>
      <c r="N115" s="389">
        <f>AVERAGE(H115,I115,K115)</f>
        <v>7.6333333333333329</v>
      </c>
      <c r="O115" s="397">
        <v>3400</v>
      </c>
      <c r="P115" s="398">
        <v>1943</v>
      </c>
      <c r="Q115" s="397">
        <v>1359</v>
      </c>
      <c r="R115" s="397">
        <v>2794</v>
      </c>
      <c r="S115" s="397">
        <v>1537</v>
      </c>
      <c r="T115" s="397">
        <v>1537</v>
      </c>
      <c r="U115" s="397">
        <v>305</v>
      </c>
      <c r="V115" s="397">
        <v>305</v>
      </c>
      <c r="W115" s="397">
        <v>323</v>
      </c>
      <c r="X115" s="397">
        <v>323</v>
      </c>
      <c r="Y115" s="399">
        <f>S115-('FMTC Main'!$E$22-U115)</f>
        <v>1842</v>
      </c>
      <c r="Z115" s="399">
        <f>T115-('FMTC Main'!$E$27-V115)</f>
        <v>1842</v>
      </c>
      <c r="AA115" s="400" t="str">
        <f>A115&amp;" "&amp;B115&amp;" "&amp;C115</f>
        <v>2011 Chevrolet #04 Monte Carlo SS Stock Car</v>
      </c>
    </row>
    <row r="116" spans="1:27" ht="12.95" customHeight="1">
      <c r="A116" s="394">
        <v>2004</v>
      </c>
      <c r="B116" s="394" t="s">
        <v>115</v>
      </c>
      <c r="C116" s="394" t="s">
        <v>116</v>
      </c>
      <c r="D116" s="395">
        <v>1100000</v>
      </c>
      <c r="E116" s="394" t="s">
        <v>1091</v>
      </c>
      <c r="F116" s="394">
        <v>815</v>
      </c>
      <c r="G116" s="396">
        <v>7.3</v>
      </c>
      <c r="H116" s="396">
        <v>8.3000000000000007</v>
      </c>
      <c r="I116" s="396">
        <v>8.8000000000000007</v>
      </c>
      <c r="J116" s="396">
        <v>7.4</v>
      </c>
      <c r="K116" s="396">
        <v>8.4</v>
      </c>
      <c r="L116" s="394" t="s">
        <v>1075</v>
      </c>
      <c r="M116" s="394"/>
      <c r="N116" s="389">
        <f>AVERAGE(H116,I116,K116)</f>
        <v>8.5</v>
      </c>
      <c r="O116" s="397">
        <v>2510</v>
      </c>
      <c r="P116" s="398">
        <v>1999</v>
      </c>
      <c r="Q116" s="397">
        <v>1163</v>
      </c>
      <c r="R116" s="397">
        <v>2659</v>
      </c>
      <c r="S116" s="397">
        <v>1897</v>
      </c>
      <c r="T116" s="397">
        <v>1933</v>
      </c>
      <c r="U116" s="397">
        <v>305</v>
      </c>
      <c r="V116" s="397">
        <v>355</v>
      </c>
      <c r="W116" s="397">
        <v>380</v>
      </c>
      <c r="X116" s="397">
        <v>355</v>
      </c>
      <c r="Y116" s="399">
        <f>S116-('FMTC Main'!$E$22-U116)</f>
        <v>2202</v>
      </c>
      <c r="Z116" s="399">
        <f>T116-('FMTC Main'!$E$27-V116)</f>
        <v>2288</v>
      </c>
      <c r="AA116" s="400" t="str">
        <f>A116&amp;" "&amp;B116&amp;" "&amp;C116</f>
        <v>2004 Chevrolet #3 Corvette Racing C5.R</v>
      </c>
    </row>
    <row r="117" spans="1:27" ht="12.95" customHeight="1">
      <c r="A117" s="394">
        <v>2006</v>
      </c>
      <c r="B117" s="394" t="s">
        <v>115</v>
      </c>
      <c r="C117" s="394" t="s">
        <v>117</v>
      </c>
      <c r="D117" s="395">
        <v>1100000</v>
      </c>
      <c r="E117" s="394" t="s">
        <v>1091</v>
      </c>
      <c r="F117" s="394">
        <v>823</v>
      </c>
      <c r="G117" s="396">
        <v>7.4</v>
      </c>
      <c r="H117" s="396">
        <v>8.1</v>
      </c>
      <c r="I117" s="396">
        <v>9</v>
      </c>
      <c r="J117" s="396">
        <v>7.9</v>
      </c>
      <c r="K117" s="396">
        <v>8.1999999999999993</v>
      </c>
      <c r="L117" s="394" t="s">
        <v>1075</v>
      </c>
      <c r="M117" s="394"/>
      <c r="N117" s="389">
        <f>AVERAGE(H117,I117,K117)</f>
        <v>8.4333333333333336</v>
      </c>
      <c r="O117" s="397">
        <v>2535</v>
      </c>
      <c r="P117" s="398">
        <v>1999</v>
      </c>
      <c r="Q117" s="397">
        <v>1163</v>
      </c>
      <c r="R117" s="397">
        <v>2685</v>
      </c>
      <c r="S117" s="397">
        <v>1580</v>
      </c>
      <c r="T117" s="397">
        <v>1603</v>
      </c>
      <c r="U117" s="397">
        <v>290</v>
      </c>
      <c r="V117" s="397">
        <v>310</v>
      </c>
      <c r="W117" s="397">
        <v>380</v>
      </c>
      <c r="X117" s="397">
        <v>355</v>
      </c>
      <c r="Y117" s="399">
        <f>S117-('FMTC Main'!$E$22-U117)</f>
        <v>1870</v>
      </c>
      <c r="Z117" s="399">
        <f>T117-('FMTC Main'!$E$27-V117)</f>
        <v>1913</v>
      </c>
      <c r="AA117" s="400" t="str">
        <f>A117&amp;" "&amp;B117&amp;" "&amp;C117</f>
        <v>2006 Chevrolet #4 Corvette Racing C6.R</v>
      </c>
    </row>
    <row r="118" spans="1:27" ht="12.95" customHeight="1">
      <c r="A118" s="394">
        <v>2010</v>
      </c>
      <c r="B118" s="394" t="s">
        <v>115</v>
      </c>
      <c r="C118" s="394" t="s">
        <v>834</v>
      </c>
      <c r="D118" s="395">
        <v>2000000</v>
      </c>
      <c r="E118" s="394" t="s">
        <v>1086</v>
      </c>
      <c r="F118" s="394">
        <v>910</v>
      </c>
      <c r="G118" s="396">
        <v>7.3</v>
      </c>
      <c r="H118" s="396">
        <v>9.6</v>
      </c>
      <c r="I118" s="396">
        <v>9.5</v>
      </c>
      <c r="J118" s="396">
        <v>8.4</v>
      </c>
      <c r="K118" s="396">
        <v>9.6</v>
      </c>
      <c r="L118" s="394" t="s">
        <v>1075</v>
      </c>
      <c r="M118" s="394"/>
      <c r="N118" s="389">
        <f>AVERAGE(H118,I118,K118)</f>
        <v>9.5666666666666682</v>
      </c>
      <c r="O118" s="397">
        <v>1984</v>
      </c>
      <c r="P118" s="398">
        <v>1990</v>
      </c>
      <c r="Q118" s="397">
        <v>1021</v>
      </c>
      <c r="R118" s="397">
        <v>2870</v>
      </c>
      <c r="S118" s="397">
        <v>1647</v>
      </c>
      <c r="T118" s="397">
        <v>1609</v>
      </c>
      <c r="U118" s="397">
        <v>300</v>
      </c>
      <c r="V118" s="397">
        <v>310</v>
      </c>
      <c r="W118" s="397">
        <v>380</v>
      </c>
      <c r="X118" s="397">
        <v>380</v>
      </c>
      <c r="Y118" s="399">
        <f>S118-('FMTC Main'!$E$22-U118)</f>
        <v>1947</v>
      </c>
      <c r="Z118" s="399">
        <f>T118-('FMTC Main'!$E$27-V118)</f>
        <v>1919</v>
      </c>
      <c r="AA118" s="400" t="str">
        <f>A118&amp;" "&amp;B118&amp;" "&amp;C118</f>
        <v>2010 Chevrolet #55 Level 5 Motorsport Oreca FLM09</v>
      </c>
    </row>
    <row r="119" spans="1:27" ht="12.95" customHeight="1">
      <c r="A119" s="394">
        <v>2010</v>
      </c>
      <c r="B119" s="394" t="s">
        <v>115</v>
      </c>
      <c r="C119" s="394" t="s">
        <v>835</v>
      </c>
      <c r="D119" s="395">
        <v>2000000</v>
      </c>
      <c r="E119" s="394" t="s">
        <v>1086</v>
      </c>
      <c r="F119" s="394">
        <v>910</v>
      </c>
      <c r="G119" s="396">
        <v>7.3</v>
      </c>
      <c r="H119" s="396">
        <v>9.6</v>
      </c>
      <c r="I119" s="396">
        <v>9.5</v>
      </c>
      <c r="J119" s="396">
        <v>8.4</v>
      </c>
      <c r="K119" s="396">
        <v>9.6</v>
      </c>
      <c r="L119" s="394" t="s">
        <v>1075</v>
      </c>
      <c r="M119" s="394"/>
      <c r="N119" s="389">
        <f>AVERAGE(H119,I119,K119)</f>
        <v>9.5666666666666682</v>
      </c>
      <c r="O119" s="397">
        <v>1984</v>
      </c>
      <c r="P119" s="398">
        <v>1990</v>
      </c>
      <c r="Q119" s="397">
        <v>1021</v>
      </c>
      <c r="R119" s="397">
        <v>2870</v>
      </c>
      <c r="S119" s="397">
        <v>1647</v>
      </c>
      <c r="T119" s="397">
        <v>1609</v>
      </c>
      <c r="U119" s="397">
        <v>300</v>
      </c>
      <c r="V119" s="397">
        <v>310</v>
      </c>
      <c r="W119" s="397">
        <v>380</v>
      </c>
      <c r="X119" s="397">
        <v>380</v>
      </c>
      <c r="Y119" s="399">
        <f>S119-('FMTC Main'!$E$22-U119)</f>
        <v>1947</v>
      </c>
      <c r="Z119" s="399">
        <f>T119-('FMTC Main'!$E$27-V119)</f>
        <v>1919</v>
      </c>
      <c r="AA119" s="400" t="str">
        <f>A119&amp;" "&amp;B119&amp;" "&amp;C119</f>
        <v>2010 Chevrolet #89 Intersport Racing Oreca FLM09</v>
      </c>
    </row>
    <row r="120" spans="1:27" ht="12.95" customHeight="1">
      <c r="A120" s="394">
        <v>2010</v>
      </c>
      <c r="B120" s="394" t="s">
        <v>115</v>
      </c>
      <c r="C120" s="394" t="s">
        <v>836</v>
      </c>
      <c r="D120" s="395">
        <v>2000000</v>
      </c>
      <c r="E120" s="394" t="s">
        <v>1086</v>
      </c>
      <c r="F120" s="394">
        <v>910</v>
      </c>
      <c r="G120" s="396">
        <v>7.3</v>
      </c>
      <c r="H120" s="396">
        <v>9.6</v>
      </c>
      <c r="I120" s="396">
        <v>9.5</v>
      </c>
      <c r="J120" s="396">
        <v>8.4</v>
      </c>
      <c r="K120" s="396">
        <v>9.6</v>
      </c>
      <c r="L120" s="394" t="s">
        <v>1075</v>
      </c>
      <c r="M120" s="394"/>
      <c r="N120" s="389">
        <f>AVERAGE(H120,I120,K120)</f>
        <v>9.5666666666666682</v>
      </c>
      <c r="O120" s="397">
        <v>1984</v>
      </c>
      <c r="P120" s="398">
        <v>1990</v>
      </c>
      <c r="Q120" s="397">
        <v>1021</v>
      </c>
      <c r="R120" s="397">
        <v>2870</v>
      </c>
      <c r="S120" s="397">
        <v>1647</v>
      </c>
      <c r="T120" s="397">
        <v>1609</v>
      </c>
      <c r="U120" s="397">
        <v>300</v>
      </c>
      <c r="V120" s="397">
        <v>310</v>
      </c>
      <c r="W120" s="397">
        <v>380</v>
      </c>
      <c r="X120" s="397">
        <v>380</v>
      </c>
      <c r="Y120" s="399">
        <f>S120-('FMTC Main'!$E$22-U120)</f>
        <v>1947</v>
      </c>
      <c r="Z120" s="399">
        <f>T120-('FMTC Main'!$E$27-V120)</f>
        <v>1919</v>
      </c>
      <c r="AA120" s="400" t="str">
        <f>A120&amp;" "&amp;B120&amp;" "&amp;C120</f>
        <v>2010 Chevrolet #99 Green Earth Team Gunnar Oreca FLM09</v>
      </c>
    </row>
    <row r="121" spans="1:27" ht="12.95" customHeight="1">
      <c r="A121" s="402">
        <v>1957</v>
      </c>
      <c r="B121" s="402" t="s">
        <v>115</v>
      </c>
      <c r="C121" s="402" t="s">
        <v>1133</v>
      </c>
      <c r="D121" s="403">
        <v>60000</v>
      </c>
      <c r="E121" s="402" t="s">
        <v>1083</v>
      </c>
      <c r="F121" s="402">
        <v>218</v>
      </c>
      <c r="G121" s="404">
        <v>4.3</v>
      </c>
      <c r="H121" s="404">
        <v>3.5</v>
      </c>
      <c r="I121" s="404">
        <v>5.5</v>
      </c>
      <c r="J121" s="404">
        <v>3</v>
      </c>
      <c r="K121" s="404">
        <v>3.5</v>
      </c>
      <c r="L121" s="402" t="s">
        <v>1075</v>
      </c>
      <c r="M121" s="394"/>
      <c r="N121" s="389">
        <f>AVERAGE(H121,I121,K121)</f>
        <v>4.166666666666667</v>
      </c>
      <c r="O121" s="405">
        <v>3337</v>
      </c>
      <c r="P121" s="405">
        <v>1854</v>
      </c>
      <c r="Q121" s="405">
        <v>1499</v>
      </c>
      <c r="R121" s="405">
        <v>2921</v>
      </c>
      <c r="S121" s="405">
        <v>1473</v>
      </c>
      <c r="T121" s="405">
        <v>1492</v>
      </c>
      <c r="U121" s="405">
        <v>205</v>
      </c>
      <c r="V121" s="405">
        <v>205</v>
      </c>
      <c r="W121" s="405">
        <v>279</v>
      </c>
      <c r="X121" s="405">
        <v>279</v>
      </c>
      <c r="Y121" s="406">
        <f>S121-('FMTC Main'!$E$22-U121)</f>
        <v>1678</v>
      </c>
      <c r="Z121" s="406">
        <f>T121-('FMTC Main'!$E$27-V121)</f>
        <v>1697</v>
      </c>
      <c r="AA121" s="407" t="str">
        <f>A121&amp;" "&amp;B121&amp;" "&amp;C121</f>
        <v xml:space="preserve">1957 Chevrolet Bel Air </v>
      </c>
    </row>
    <row r="122" spans="1:27" ht="12.95" customHeight="1">
      <c r="A122" s="394">
        <v>2002</v>
      </c>
      <c r="B122" s="394" t="s">
        <v>115</v>
      </c>
      <c r="C122" s="394" t="s">
        <v>118</v>
      </c>
      <c r="D122" s="395">
        <v>22000</v>
      </c>
      <c r="E122" s="394" t="s">
        <v>1087</v>
      </c>
      <c r="F122" s="394">
        <v>416</v>
      </c>
      <c r="G122" s="396">
        <v>6.3</v>
      </c>
      <c r="H122" s="396">
        <v>4.8</v>
      </c>
      <c r="I122" s="396">
        <v>6.7</v>
      </c>
      <c r="J122" s="396">
        <v>6.4</v>
      </c>
      <c r="K122" s="396">
        <v>4.5999999999999996</v>
      </c>
      <c r="L122" s="394" t="s">
        <v>1075</v>
      </c>
      <c r="M122" s="394"/>
      <c r="N122" s="389">
        <f>AVERAGE(H122,I122,K122)</f>
        <v>5.3666666666666671</v>
      </c>
      <c r="O122" s="397">
        <v>3554</v>
      </c>
      <c r="P122" s="398">
        <v>1882</v>
      </c>
      <c r="Q122" s="397">
        <v>1300</v>
      </c>
      <c r="R122" s="397">
        <v>2568</v>
      </c>
      <c r="S122" s="397">
        <v>1542</v>
      </c>
      <c r="T122" s="397">
        <v>1539</v>
      </c>
      <c r="U122" s="397">
        <v>275</v>
      </c>
      <c r="V122" s="397">
        <v>275</v>
      </c>
      <c r="W122" s="397">
        <v>303</v>
      </c>
      <c r="X122" s="397">
        <v>305</v>
      </c>
      <c r="Y122" s="399">
        <f>S122-('FMTC Main'!$E$22-U122)</f>
        <v>1817</v>
      </c>
      <c r="Z122" s="399">
        <f>T122-('FMTC Main'!$E$27-V122)</f>
        <v>1814</v>
      </c>
      <c r="AA122" s="400" t="str">
        <f>A122&amp;" "&amp;B122&amp;" "&amp;C122</f>
        <v>2002 Chevrolet Camaro 35th Anniversary SS</v>
      </c>
    </row>
    <row r="123" spans="1:27" ht="12.95" customHeight="1">
      <c r="A123" s="394">
        <v>1990</v>
      </c>
      <c r="B123" s="394" t="s">
        <v>115</v>
      </c>
      <c r="C123" s="394" t="s">
        <v>119</v>
      </c>
      <c r="D123" s="395">
        <v>9000</v>
      </c>
      <c r="E123" s="394" t="s">
        <v>1085</v>
      </c>
      <c r="F123" s="394">
        <v>341</v>
      </c>
      <c r="G123" s="396">
        <v>5.5</v>
      </c>
      <c r="H123" s="396">
        <v>4.5</v>
      </c>
      <c r="I123" s="396">
        <v>5.9</v>
      </c>
      <c r="J123" s="396">
        <v>6.1</v>
      </c>
      <c r="K123" s="396">
        <v>4.3</v>
      </c>
      <c r="L123" s="394" t="s">
        <v>1075</v>
      </c>
      <c r="M123" s="394"/>
      <c r="N123" s="389">
        <f>AVERAGE(H123,I123,K123)</f>
        <v>4.8999999999999995</v>
      </c>
      <c r="O123" s="397">
        <v>3627</v>
      </c>
      <c r="P123" s="398">
        <v>1849</v>
      </c>
      <c r="Q123" s="397">
        <v>1270</v>
      </c>
      <c r="R123" s="397">
        <v>2565</v>
      </c>
      <c r="S123" s="397">
        <v>1542</v>
      </c>
      <c r="T123" s="397">
        <v>1539</v>
      </c>
      <c r="U123" s="397">
        <v>235</v>
      </c>
      <c r="V123" s="397">
        <v>235</v>
      </c>
      <c r="W123" s="397">
        <v>267</v>
      </c>
      <c r="X123" s="397">
        <v>241</v>
      </c>
      <c r="Y123" s="399">
        <f>S123-('FMTC Main'!$E$22-U123)</f>
        <v>1777</v>
      </c>
      <c r="Z123" s="399">
        <f>T123-('FMTC Main'!$E$27-V123)</f>
        <v>1774</v>
      </c>
      <c r="AA123" s="400" t="str">
        <f>A123&amp;" "&amp;B123&amp;" "&amp;C123</f>
        <v>1990 Chevrolet Camaro IROC-Z</v>
      </c>
    </row>
    <row r="124" spans="1:27" ht="12.95" customHeight="1">
      <c r="A124" s="394">
        <v>2010</v>
      </c>
      <c r="B124" s="394" t="s">
        <v>115</v>
      </c>
      <c r="C124" s="394" t="s">
        <v>120</v>
      </c>
      <c r="D124" s="395">
        <v>36000</v>
      </c>
      <c r="E124" s="394" t="s">
        <v>1088</v>
      </c>
      <c r="F124" s="394">
        <v>481</v>
      </c>
      <c r="G124" s="396">
        <v>6.8</v>
      </c>
      <c r="H124" s="396">
        <v>5</v>
      </c>
      <c r="I124" s="396">
        <v>7.4</v>
      </c>
      <c r="J124" s="396">
        <v>7</v>
      </c>
      <c r="K124" s="396">
        <v>4.9000000000000004</v>
      </c>
      <c r="L124" s="394" t="s">
        <v>1075</v>
      </c>
      <c r="M124" s="394"/>
      <c r="N124" s="389">
        <f>AVERAGE(H124,I124,K124)</f>
        <v>5.7666666666666666</v>
      </c>
      <c r="O124" s="397">
        <v>3860</v>
      </c>
      <c r="P124" s="398">
        <v>1918</v>
      </c>
      <c r="Q124" s="397">
        <v>1377</v>
      </c>
      <c r="R124" s="397">
        <v>2852</v>
      </c>
      <c r="S124" s="397">
        <v>1618</v>
      </c>
      <c r="T124" s="397">
        <v>1618</v>
      </c>
      <c r="U124" s="397">
        <v>245</v>
      </c>
      <c r="V124" s="397">
        <v>275</v>
      </c>
      <c r="W124" s="397">
        <v>356</v>
      </c>
      <c r="X124" s="397">
        <v>366</v>
      </c>
      <c r="Y124" s="399">
        <f>S124-('FMTC Main'!$E$22-U124)</f>
        <v>1863</v>
      </c>
      <c r="Z124" s="399">
        <f>T124-('FMTC Main'!$E$27-V124)</f>
        <v>1893</v>
      </c>
      <c r="AA124" s="400" t="str">
        <f>A124&amp;" "&amp;B124&amp;" "&amp;C124</f>
        <v>2010 Chevrolet Camaro SS</v>
      </c>
    </row>
    <row r="125" spans="1:27" ht="12.95" customHeight="1">
      <c r="A125" s="394">
        <v>1969</v>
      </c>
      <c r="B125" s="394" t="s">
        <v>115</v>
      </c>
      <c r="C125" s="394" t="s">
        <v>121</v>
      </c>
      <c r="D125" s="395">
        <v>45000</v>
      </c>
      <c r="E125" s="394" t="s">
        <v>1085</v>
      </c>
      <c r="F125" s="394">
        <v>305</v>
      </c>
      <c r="G125" s="396">
        <v>4</v>
      </c>
      <c r="H125" s="396">
        <v>3.6</v>
      </c>
      <c r="I125" s="396">
        <v>6.7</v>
      </c>
      <c r="J125" s="396">
        <v>5.9</v>
      </c>
      <c r="K125" s="396">
        <v>3.6</v>
      </c>
      <c r="L125" s="394" t="s">
        <v>1075</v>
      </c>
      <c r="M125" s="394" t="s">
        <v>1096</v>
      </c>
      <c r="N125" s="389">
        <f>AVERAGE(H125,I125,K125)</f>
        <v>4.6333333333333337</v>
      </c>
      <c r="O125" s="397">
        <v>3527</v>
      </c>
      <c r="P125" s="398">
        <v>1880</v>
      </c>
      <c r="Q125" s="397">
        <v>1298</v>
      </c>
      <c r="R125" s="397">
        <v>2743</v>
      </c>
      <c r="S125" s="397">
        <v>1414</v>
      </c>
      <c r="T125" s="397">
        <v>1514</v>
      </c>
      <c r="U125" s="397">
        <v>215</v>
      </c>
      <c r="V125" s="397">
        <v>215</v>
      </c>
      <c r="W125" s="397">
        <v>298</v>
      </c>
      <c r="X125" s="397">
        <v>244</v>
      </c>
      <c r="Y125" s="399">
        <f>S125-('FMTC Main'!$E$22-U125)</f>
        <v>1629</v>
      </c>
      <c r="Z125" s="399">
        <f>T125-('FMTC Main'!$E$27-V125)</f>
        <v>1729</v>
      </c>
      <c r="AA125" s="400" t="str">
        <f>A125&amp;" "&amp;B125&amp;" "&amp;C125</f>
        <v>1969 Chevrolet Camaro SS Coupe</v>
      </c>
    </row>
    <row r="126" spans="1:27" ht="12.95" customHeight="1">
      <c r="A126" s="394">
        <v>1969</v>
      </c>
      <c r="B126" s="394" t="s">
        <v>115</v>
      </c>
      <c r="C126" s="394" t="s">
        <v>122</v>
      </c>
      <c r="D126" s="395">
        <v>12000</v>
      </c>
      <c r="E126" s="394" t="s">
        <v>1085</v>
      </c>
      <c r="F126" s="394">
        <v>303</v>
      </c>
      <c r="G126" s="396">
        <v>4.4000000000000004</v>
      </c>
      <c r="H126" s="396">
        <v>3.6</v>
      </c>
      <c r="I126" s="396">
        <v>6.8</v>
      </c>
      <c r="J126" s="396">
        <v>5.7</v>
      </c>
      <c r="K126" s="396">
        <v>3.5</v>
      </c>
      <c r="L126" s="394" t="s">
        <v>1075</v>
      </c>
      <c r="M126" s="394"/>
      <c r="N126" s="389">
        <f>AVERAGE(H126,I126,K126)</f>
        <v>4.6333333333333337</v>
      </c>
      <c r="O126" s="397">
        <v>3415</v>
      </c>
      <c r="P126" s="398">
        <v>1880</v>
      </c>
      <c r="Q126" s="397">
        <v>1298</v>
      </c>
      <c r="R126" s="397">
        <v>2743</v>
      </c>
      <c r="S126" s="397">
        <v>1514</v>
      </c>
      <c r="T126" s="397">
        <v>1511</v>
      </c>
      <c r="U126" s="397">
        <v>205</v>
      </c>
      <c r="V126" s="397">
        <v>205</v>
      </c>
      <c r="W126" s="397">
        <v>298</v>
      </c>
      <c r="X126" s="397">
        <v>244</v>
      </c>
      <c r="Y126" s="399">
        <f>S126-('FMTC Main'!$E$22-U126)</f>
        <v>1719</v>
      </c>
      <c r="Z126" s="399">
        <f>T126-('FMTC Main'!$E$27-V126)</f>
        <v>1716</v>
      </c>
      <c r="AA126" s="400" t="str">
        <f>A126&amp;" "&amp;B126&amp;" "&amp;C126</f>
        <v>1969 Chevrolet Camaro Z28</v>
      </c>
    </row>
    <row r="127" spans="1:27" ht="12.95" customHeight="1">
      <c r="A127" s="394">
        <v>1970</v>
      </c>
      <c r="B127" s="394" t="s">
        <v>115</v>
      </c>
      <c r="C127" s="394" t="s">
        <v>122</v>
      </c>
      <c r="D127" s="395">
        <v>38000</v>
      </c>
      <c r="E127" s="394" t="s">
        <v>1085</v>
      </c>
      <c r="F127" s="394">
        <v>322</v>
      </c>
      <c r="G127" s="396">
        <v>4.3</v>
      </c>
      <c r="H127" s="396">
        <v>3.6</v>
      </c>
      <c r="I127" s="396">
        <v>6.9</v>
      </c>
      <c r="J127" s="396">
        <v>6</v>
      </c>
      <c r="K127" s="396">
        <v>3.5</v>
      </c>
      <c r="L127" s="394" t="s">
        <v>1075</v>
      </c>
      <c r="M127" s="394"/>
      <c r="N127" s="389">
        <f>AVERAGE(H127,I127,K127)</f>
        <v>4.666666666666667</v>
      </c>
      <c r="O127" s="397">
        <v>3550</v>
      </c>
      <c r="P127" s="398">
        <v>1890</v>
      </c>
      <c r="Q127" s="397">
        <v>1273</v>
      </c>
      <c r="R127" s="397">
        <v>2743</v>
      </c>
      <c r="S127" s="397">
        <v>1557</v>
      </c>
      <c r="T127" s="397">
        <v>1524</v>
      </c>
      <c r="U127" s="397">
        <v>205</v>
      </c>
      <c r="V127" s="397">
        <v>205</v>
      </c>
      <c r="W127" s="397">
        <v>280</v>
      </c>
      <c r="X127" s="397">
        <v>244</v>
      </c>
      <c r="Y127" s="399">
        <f>S127-('FMTC Main'!$E$22-U127)</f>
        <v>1762</v>
      </c>
      <c r="Z127" s="399">
        <f>T127-('FMTC Main'!$E$27-V127)</f>
        <v>1729</v>
      </c>
      <c r="AA127" s="400" t="str">
        <f>A127&amp;" "&amp;B127&amp;" "&amp;C127</f>
        <v>1970 Chevrolet Camaro Z28</v>
      </c>
    </row>
    <row r="128" spans="1:27" ht="12.95" customHeight="1">
      <c r="A128" s="394">
        <v>1979</v>
      </c>
      <c r="B128" s="394" t="s">
        <v>115</v>
      </c>
      <c r="C128" s="394" t="s">
        <v>122</v>
      </c>
      <c r="D128" s="395">
        <v>12000</v>
      </c>
      <c r="E128" s="394" t="s">
        <v>1083</v>
      </c>
      <c r="F128" s="394">
        <v>201</v>
      </c>
      <c r="G128" s="396">
        <v>3.1</v>
      </c>
      <c r="H128" s="396">
        <v>4.2</v>
      </c>
      <c r="I128" s="396">
        <v>5.3</v>
      </c>
      <c r="J128" s="396">
        <v>5.7</v>
      </c>
      <c r="K128" s="396">
        <v>4.0999999999999996</v>
      </c>
      <c r="L128" s="394" t="s">
        <v>1075</v>
      </c>
      <c r="M128" s="394"/>
      <c r="N128" s="389">
        <f>AVERAGE(H128,I128,K128)</f>
        <v>4.5333333333333332</v>
      </c>
      <c r="O128" s="397">
        <v>3560</v>
      </c>
      <c r="P128" s="398">
        <v>1892</v>
      </c>
      <c r="Q128" s="397">
        <v>1250</v>
      </c>
      <c r="R128" s="397">
        <v>2743</v>
      </c>
      <c r="S128" s="397">
        <v>1557</v>
      </c>
      <c r="T128" s="397">
        <v>1524</v>
      </c>
      <c r="U128" s="397">
        <v>225</v>
      </c>
      <c r="V128" s="397">
        <v>225</v>
      </c>
      <c r="W128" s="397">
        <v>281</v>
      </c>
      <c r="X128" s="397">
        <v>244</v>
      </c>
      <c r="Y128" s="399">
        <f>S128-('FMTC Main'!$E$22-U128)</f>
        <v>1782</v>
      </c>
      <c r="Z128" s="399">
        <f>T128-('FMTC Main'!$E$27-V128)</f>
        <v>1749</v>
      </c>
      <c r="AA128" s="400" t="str">
        <f>A128&amp;" "&amp;B128&amp;" "&amp;C128</f>
        <v>1979 Chevrolet Camaro Z28</v>
      </c>
    </row>
    <row r="129" spans="1:27" ht="12.95" customHeight="1">
      <c r="A129" s="394">
        <v>1970</v>
      </c>
      <c r="B129" s="394" t="s">
        <v>115</v>
      </c>
      <c r="C129" s="394" t="s">
        <v>832</v>
      </c>
      <c r="D129" s="395">
        <v>48000</v>
      </c>
      <c r="E129" s="394" t="s">
        <v>1085</v>
      </c>
      <c r="F129" s="394">
        <v>312</v>
      </c>
      <c r="G129" s="396">
        <v>3.4</v>
      </c>
      <c r="H129" s="396">
        <v>3.4</v>
      </c>
      <c r="I129" s="396">
        <v>6.9</v>
      </c>
      <c r="J129" s="396">
        <v>5.8</v>
      </c>
      <c r="K129" s="396">
        <v>3.4</v>
      </c>
      <c r="L129" s="394" t="s">
        <v>1075</v>
      </c>
      <c r="M129" s="394"/>
      <c r="N129" s="389">
        <f>AVERAGE(H129,I129,K129)</f>
        <v>4.5666666666666673</v>
      </c>
      <c r="O129" s="397">
        <v>3799</v>
      </c>
      <c r="P129" s="398">
        <v>1915</v>
      </c>
      <c r="Q129" s="397">
        <v>1339</v>
      </c>
      <c r="R129" s="397">
        <v>2845</v>
      </c>
      <c r="S129" s="397">
        <v>1524</v>
      </c>
      <c r="T129" s="397">
        <v>1521</v>
      </c>
      <c r="U129" s="397">
        <v>215</v>
      </c>
      <c r="V129" s="397">
        <v>215</v>
      </c>
      <c r="W129" s="397">
        <v>279</v>
      </c>
      <c r="X129" s="397">
        <v>241</v>
      </c>
      <c r="Y129" s="399">
        <f>S129-('FMTC Main'!$E$22-U129)</f>
        <v>1739</v>
      </c>
      <c r="Z129" s="399">
        <f>T129-('FMTC Main'!$E$27-V129)</f>
        <v>1736</v>
      </c>
      <c r="AA129" s="400" t="str">
        <f>A129&amp;" "&amp;B129&amp;" "&amp;C129</f>
        <v>1970 Chevrolet Chevelle SS 454</v>
      </c>
    </row>
    <row r="130" spans="1:27" ht="12.95" customHeight="1">
      <c r="A130" s="402">
        <v>1967</v>
      </c>
      <c r="B130" s="402" t="s">
        <v>115</v>
      </c>
      <c r="C130" s="402" t="s">
        <v>1145</v>
      </c>
      <c r="D130" s="403">
        <v>60000</v>
      </c>
      <c r="E130" s="402" t="s">
        <v>1085</v>
      </c>
      <c r="F130" s="402">
        <v>329</v>
      </c>
      <c r="G130" s="404">
        <v>5.2</v>
      </c>
      <c r="H130" s="404">
        <v>3.5</v>
      </c>
      <c r="I130" s="404">
        <v>6.9</v>
      </c>
      <c r="J130" s="404">
        <v>5.8</v>
      </c>
      <c r="K130" s="404">
        <v>3.5</v>
      </c>
      <c r="L130" s="402" t="s">
        <v>1075</v>
      </c>
      <c r="M130" s="402" t="s">
        <v>1141</v>
      </c>
      <c r="N130" s="389">
        <f>AVERAGE(H130,I130,K130)</f>
        <v>4.6333333333333337</v>
      </c>
      <c r="O130" s="405">
        <v>3585</v>
      </c>
      <c r="P130" s="405">
        <v>1905</v>
      </c>
      <c r="Q130" s="405">
        <v>1318</v>
      </c>
      <c r="R130" s="405">
        <v>2921</v>
      </c>
      <c r="S130" s="405">
        <v>1473</v>
      </c>
      <c r="T130" s="405">
        <v>1473</v>
      </c>
      <c r="U130" s="405">
        <v>215</v>
      </c>
      <c r="V130" s="405">
        <v>215</v>
      </c>
      <c r="W130" s="405">
        <v>279</v>
      </c>
      <c r="X130" s="405">
        <v>241</v>
      </c>
      <c r="Y130" s="406">
        <f>S130-('FMTC Main'!$E$22-U130)</f>
        <v>1688</v>
      </c>
      <c r="Z130" s="406">
        <f>T130-('FMTC Main'!$E$27-V130)</f>
        <v>1688</v>
      </c>
      <c r="AA130" s="407" t="str">
        <f>A130&amp;" "&amp;B130&amp;" "&amp;C130</f>
        <v>1967 Chevrolet Chevelle SS-396</v>
      </c>
    </row>
    <row r="131" spans="1:27" ht="12.95" customHeight="1">
      <c r="A131" s="394">
        <v>2010</v>
      </c>
      <c r="B131" s="394" t="s">
        <v>115</v>
      </c>
      <c r="C131" s="394" t="s">
        <v>837</v>
      </c>
      <c r="D131" s="395">
        <v>18000</v>
      </c>
      <c r="E131" s="394" t="s">
        <v>1088</v>
      </c>
      <c r="F131" s="394">
        <v>455</v>
      </c>
      <c r="G131" s="396">
        <v>5.9</v>
      </c>
      <c r="H131" s="396">
        <v>4.7</v>
      </c>
      <c r="I131" s="396">
        <v>6.9</v>
      </c>
      <c r="J131" s="396">
        <v>6.3</v>
      </c>
      <c r="K131" s="396">
        <v>4.7</v>
      </c>
      <c r="L131" s="394" t="s">
        <v>1075</v>
      </c>
      <c r="M131" s="394"/>
      <c r="N131" s="389">
        <f>AVERAGE(H131,I131,K131)</f>
        <v>5.4333333333333336</v>
      </c>
      <c r="O131" s="397">
        <v>2926</v>
      </c>
      <c r="P131" s="398">
        <v>1725</v>
      </c>
      <c r="Q131" s="397">
        <v>1415</v>
      </c>
      <c r="R131" s="397">
        <v>2624</v>
      </c>
      <c r="S131" s="397">
        <v>1488</v>
      </c>
      <c r="T131" s="397">
        <v>1476</v>
      </c>
      <c r="U131" s="397">
        <v>225</v>
      </c>
      <c r="V131" s="397">
        <v>225</v>
      </c>
      <c r="W131" s="397">
        <v>315</v>
      </c>
      <c r="X131" s="397">
        <v>292</v>
      </c>
      <c r="Y131" s="399">
        <f>S131-('FMTC Main'!$E$22-U131)</f>
        <v>1713</v>
      </c>
      <c r="Z131" s="399">
        <f>T131-('FMTC Main'!$E$27-V131)</f>
        <v>1701</v>
      </c>
      <c r="AA131" s="400" t="str">
        <f>A131&amp;" "&amp;B131&amp;" "&amp;C131</f>
        <v>2010 Chevrolet Cobalt SS Turbocharged</v>
      </c>
    </row>
    <row r="132" spans="1:27" ht="12.95" customHeight="1">
      <c r="A132" s="394">
        <v>1960</v>
      </c>
      <c r="B132" s="394" t="s">
        <v>115</v>
      </c>
      <c r="C132" s="394" t="s">
        <v>829</v>
      </c>
      <c r="D132" s="395">
        <v>80000</v>
      </c>
      <c r="E132" s="394" t="s">
        <v>1085</v>
      </c>
      <c r="F132" s="394">
        <v>277</v>
      </c>
      <c r="G132" s="396">
        <v>4.5999999999999996</v>
      </c>
      <c r="H132" s="396">
        <v>3.4</v>
      </c>
      <c r="I132" s="396">
        <v>6.6</v>
      </c>
      <c r="J132" s="396">
        <v>6</v>
      </c>
      <c r="K132" s="396">
        <v>3.4</v>
      </c>
      <c r="L132" s="394" t="s">
        <v>1075</v>
      </c>
      <c r="M132" s="394"/>
      <c r="N132" s="389">
        <f>AVERAGE(H132,I132,K132)</f>
        <v>4.4666666666666668</v>
      </c>
      <c r="O132" s="397">
        <v>3080</v>
      </c>
      <c r="P132" s="398">
        <v>1849</v>
      </c>
      <c r="Q132" s="397">
        <v>1311</v>
      </c>
      <c r="R132" s="397">
        <v>2591</v>
      </c>
      <c r="S132" s="397">
        <v>1448</v>
      </c>
      <c r="T132" s="397">
        <v>1499</v>
      </c>
      <c r="U132" s="397">
        <v>185</v>
      </c>
      <c r="V132" s="397">
        <v>185</v>
      </c>
      <c r="W132" s="397">
        <v>279</v>
      </c>
      <c r="X132" s="397">
        <v>279</v>
      </c>
      <c r="Y132" s="399">
        <f>S132-('FMTC Main'!$E$22-U132)</f>
        <v>1633</v>
      </c>
      <c r="Z132" s="399">
        <f>T132-('FMTC Main'!$E$27-V132)</f>
        <v>1684</v>
      </c>
      <c r="AA132" s="400" t="str">
        <f>A132&amp;" "&amp;B132&amp;" "&amp;C132</f>
        <v>1960 Chevrolet Corvette C1</v>
      </c>
    </row>
    <row r="133" spans="1:27" ht="12.95" customHeight="1">
      <c r="A133" s="394">
        <v>1996</v>
      </c>
      <c r="B133" s="394" t="s">
        <v>115</v>
      </c>
      <c r="C133" s="394" t="s">
        <v>328</v>
      </c>
      <c r="D133" s="395">
        <v>30000</v>
      </c>
      <c r="E133" s="394" t="s">
        <v>1088</v>
      </c>
      <c r="F133" s="394">
        <v>473</v>
      </c>
      <c r="G133" s="396">
        <v>7.1</v>
      </c>
      <c r="H133" s="396">
        <v>5.3</v>
      </c>
      <c r="I133" s="396">
        <v>6.9</v>
      </c>
      <c r="J133" s="396">
        <v>6.4</v>
      </c>
      <c r="K133" s="396">
        <v>5.0999999999999996</v>
      </c>
      <c r="L133" s="394" t="s">
        <v>1075</v>
      </c>
      <c r="M133" s="394"/>
      <c r="N133" s="389">
        <f>AVERAGE(H133,I133,K133)</f>
        <v>5.7666666666666657</v>
      </c>
      <c r="O133" s="397">
        <v>3351</v>
      </c>
      <c r="P133" s="398">
        <v>1796</v>
      </c>
      <c r="Q133" s="397">
        <v>1176</v>
      </c>
      <c r="R133" s="397">
        <v>2591</v>
      </c>
      <c r="S133" s="397">
        <v>1466</v>
      </c>
      <c r="T133" s="397">
        <v>1501</v>
      </c>
      <c r="U133" s="397">
        <v>315</v>
      </c>
      <c r="V133" s="397">
        <v>315</v>
      </c>
      <c r="W133" s="397">
        <v>330</v>
      </c>
      <c r="X133" s="397">
        <v>305</v>
      </c>
      <c r="Y133" s="399">
        <f>S133-('FMTC Main'!$E$22-U133)</f>
        <v>1781</v>
      </c>
      <c r="Z133" s="399">
        <f>T133-('FMTC Main'!$E$27-V133)</f>
        <v>1816</v>
      </c>
      <c r="AA133" s="400" t="str">
        <f>A133&amp;" "&amp;B133&amp;" "&amp;C133</f>
        <v>1996 Chevrolet Corvette Grand Sport</v>
      </c>
    </row>
    <row r="134" spans="1:27" ht="12.95" customHeight="1">
      <c r="A134" s="394">
        <v>2010</v>
      </c>
      <c r="B134" s="394" t="s">
        <v>115</v>
      </c>
      <c r="C134" s="394" t="s">
        <v>328</v>
      </c>
      <c r="D134" s="395">
        <v>55000</v>
      </c>
      <c r="E134" s="394" t="s">
        <v>349</v>
      </c>
      <c r="F134" s="394">
        <v>561</v>
      </c>
      <c r="G134" s="396">
        <v>8.3000000000000007</v>
      </c>
      <c r="H134" s="396">
        <v>5.5</v>
      </c>
      <c r="I134" s="396">
        <v>8</v>
      </c>
      <c r="J134" s="396">
        <v>7.5</v>
      </c>
      <c r="K134" s="396">
        <v>5.4</v>
      </c>
      <c r="L134" s="394" t="s">
        <v>1075</v>
      </c>
      <c r="M134" s="394"/>
      <c r="N134" s="389">
        <f>AVERAGE(H134,I134,K134)</f>
        <v>6.3</v>
      </c>
      <c r="O134" s="397">
        <v>3311</v>
      </c>
      <c r="P134" s="398">
        <v>1928</v>
      </c>
      <c r="Q134" s="397">
        <v>1236</v>
      </c>
      <c r="R134" s="397">
        <v>2685</v>
      </c>
      <c r="S134" s="397">
        <v>1607</v>
      </c>
      <c r="T134" s="397">
        <v>1580</v>
      </c>
      <c r="U134" s="397">
        <v>275</v>
      </c>
      <c r="V134" s="397">
        <v>325</v>
      </c>
      <c r="W134" s="397">
        <v>355</v>
      </c>
      <c r="X134" s="397">
        <v>340</v>
      </c>
      <c r="Y134" s="399">
        <f>S134-('FMTC Main'!$E$22-U134)</f>
        <v>1882</v>
      </c>
      <c r="Z134" s="399">
        <f>T134-('FMTC Main'!$E$27-V134)</f>
        <v>1905</v>
      </c>
      <c r="AA134" s="400" t="str">
        <f>A134&amp;" "&amp;B134&amp;" "&amp;C134</f>
        <v>2010 Chevrolet Corvette Grand Sport</v>
      </c>
    </row>
    <row r="135" spans="1:27" ht="12.95" customHeight="1">
      <c r="A135" s="394">
        <v>1967</v>
      </c>
      <c r="B135" s="394" t="s">
        <v>115</v>
      </c>
      <c r="C135" s="394" t="s">
        <v>1039</v>
      </c>
      <c r="D135" s="395">
        <v>90000</v>
      </c>
      <c r="E135" s="394" t="s">
        <v>1087</v>
      </c>
      <c r="F135" s="394">
        <v>398</v>
      </c>
      <c r="G135" s="396">
        <v>5</v>
      </c>
      <c r="H135" s="396">
        <v>3.9</v>
      </c>
      <c r="I135" s="396">
        <v>7.3</v>
      </c>
      <c r="J135" s="396">
        <v>6.3</v>
      </c>
      <c r="K135" s="396">
        <v>3.9</v>
      </c>
      <c r="L135" s="394" t="s">
        <v>1075</v>
      </c>
      <c r="M135" s="394"/>
      <c r="N135" s="389">
        <f>AVERAGE(H135,I135,K135)</f>
        <v>5.0333333333333332</v>
      </c>
      <c r="O135" s="397">
        <v>3384</v>
      </c>
      <c r="P135" s="398">
        <v>1768</v>
      </c>
      <c r="Q135" s="397">
        <v>1260</v>
      </c>
      <c r="R135" s="397">
        <v>2489</v>
      </c>
      <c r="S135" s="397">
        <v>1463</v>
      </c>
      <c r="T135" s="397">
        <v>1481</v>
      </c>
      <c r="U135" s="397">
        <v>215</v>
      </c>
      <c r="V135" s="397">
        <v>215</v>
      </c>
      <c r="W135" s="397">
        <v>298</v>
      </c>
      <c r="X135" s="397">
        <v>298</v>
      </c>
      <c r="Y135" s="399">
        <f>S135-('FMTC Main'!$E$22-U135)</f>
        <v>1678</v>
      </c>
      <c r="Z135" s="399">
        <f>T135-('FMTC Main'!$E$27-V135)</f>
        <v>1696</v>
      </c>
      <c r="AA135" s="400" t="str">
        <f>A135&amp;" "&amp;B135&amp;" "&amp;C135</f>
        <v>1967 Chevrolet Corvette Stingray 427</v>
      </c>
    </row>
    <row r="136" spans="1:27" ht="12.95" customHeight="1">
      <c r="A136" s="394">
        <v>2002</v>
      </c>
      <c r="B136" s="394" t="s">
        <v>115</v>
      </c>
      <c r="C136" s="394" t="s">
        <v>123</v>
      </c>
      <c r="D136" s="395">
        <v>31000</v>
      </c>
      <c r="E136" s="394" t="s">
        <v>349</v>
      </c>
      <c r="F136" s="394">
        <v>537</v>
      </c>
      <c r="G136" s="396">
        <v>7.8</v>
      </c>
      <c r="H136" s="396">
        <v>5.5</v>
      </c>
      <c r="I136" s="396">
        <v>7.7</v>
      </c>
      <c r="J136" s="396">
        <v>6.9</v>
      </c>
      <c r="K136" s="396">
        <v>5.3</v>
      </c>
      <c r="L136" s="394" t="s">
        <v>1075</v>
      </c>
      <c r="M136" s="394"/>
      <c r="N136" s="389">
        <f>AVERAGE(H136,I136,K136)</f>
        <v>6.166666666666667</v>
      </c>
      <c r="O136" s="397">
        <v>3120</v>
      </c>
      <c r="P136" s="398">
        <v>1869</v>
      </c>
      <c r="Q136" s="397">
        <v>1211</v>
      </c>
      <c r="R136" s="397">
        <v>2654</v>
      </c>
      <c r="S136" s="397">
        <v>1585</v>
      </c>
      <c r="T136" s="397">
        <v>1590</v>
      </c>
      <c r="U136" s="397">
        <v>265</v>
      </c>
      <c r="V136" s="397">
        <v>295</v>
      </c>
      <c r="W136" s="397">
        <v>320</v>
      </c>
      <c r="X136" s="397">
        <v>300</v>
      </c>
      <c r="Y136" s="399">
        <f>S136-('FMTC Main'!$E$22-U136)</f>
        <v>1850</v>
      </c>
      <c r="Z136" s="399">
        <f>T136-('FMTC Main'!$E$27-V136)</f>
        <v>1885</v>
      </c>
      <c r="AA136" s="400" t="str">
        <f>A136&amp;" "&amp;B136&amp;" "&amp;C136</f>
        <v>2002 Chevrolet Corvette Z06</v>
      </c>
    </row>
    <row r="137" spans="1:27" ht="12.95" customHeight="1">
      <c r="A137" s="394">
        <v>2006</v>
      </c>
      <c r="B137" s="394" t="s">
        <v>115</v>
      </c>
      <c r="C137" s="394" t="s">
        <v>123</v>
      </c>
      <c r="D137" s="395">
        <v>48000</v>
      </c>
      <c r="E137" s="394" t="s">
        <v>349</v>
      </c>
      <c r="F137" s="394">
        <v>589</v>
      </c>
      <c r="G137" s="396">
        <v>8.9</v>
      </c>
      <c r="H137" s="396">
        <v>5.6</v>
      </c>
      <c r="I137" s="396">
        <v>8.3000000000000007</v>
      </c>
      <c r="J137" s="396">
        <v>7.6</v>
      </c>
      <c r="K137" s="396">
        <v>5.4</v>
      </c>
      <c r="L137" s="394" t="s">
        <v>1075</v>
      </c>
      <c r="M137" s="394"/>
      <c r="N137" s="389">
        <f>AVERAGE(H137,I137,K137)</f>
        <v>6.4333333333333336</v>
      </c>
      <c r="O137" s="397">
        <v>3150</v>
      </c>
      <c r="P137" s="398">
        <v>1930</v>
      </c>
      <c r="Q137" s="397">
        <v>1245</v>
      </c>
      <c r="R137" s="397">
        <v>2686</v>
      </c>
      <c r="S137" s="397">
        <v>1607</v>
      </c>
      <c r="T137" s="397">
        <v>1580</v>
      </c>
      <c r="U137" s="397">
        <v>275</v>
      </c>
      <c r="V137" s="397">
        <v>325</v>
      </c>
      <c r="W137" s="397">
        <v>355</v>
      </c>
      <c r="X137" s="397">
        <v>340</v>
      </c>
      <c r="Y137" s="399">
        <f>S137-('FMTC Main'!$E$22-U137)</f>
        <v>1882</v>
      </c>
      <c r="Z137" s="399">
        <f>T137-('FMTC Main'!$E$27-V137)</f>
        <v>1905</v>
      </c>
      <c r="AA137" s="400" t="str">
        <f>A137&amp;" "&amp;B137&amp;" "&amp;C137</f>
        <v>2006 Chevrolet Corvette Z06</v>
      </c>
    </row>
    <row r="138" spans="1:27" ht="12.95" customHeight="1">
      <c r="A138" s="394">
        <v>2009</v>
      </c>
      <c r="B138" s="394" t="s">
        <v>115</v>
      </c>
      <c r="C138" s="394" t="s">
        <v>339</v>
      </c>
      <c r="D138" s="395">
        <v>85000</v>
      </c>
      <c r="E138" s="394" t="s">
        <v>1087</v>
      </c>
      <c r="F138" s="394">
        <v>358</v>
      </c>
      <c r="G138" s="396">
        <v>3.8</v>
      </c>
      <c r="H138" s="396">
        <v>4</v>
      </c>
      <c r="I138" s="396">
        <v>6.9</v>
      </c>
      <c r="J138" s="396">
        <v>6.3</v>
      </c>
      <c r="K138" s="396">
        <v>3.9</v>
      </c>
      <c r="L138" s="394" t="s">
        <v>1075</v>
      </c>
      <c r="M138" s="394"/>
      <c r="N138" s="389">
        <f>AVERAGE(H138,I138,K138)</f>
        <v>4.9333333333333336</v>
      </c>
      <c r="O138" s="397">
        <v>3350</v>
      </c>
      <c r="P138" s="398">
        <v>1928</v>
      </c>
      <c r="Q138" s="397">
        <v>1244</v>
      </c>
      <c r="R138" s="397">
        <v>2685</v>
      </c>
      <c r="S138" s="397">
        <v>1575</v>
      </c>
      <c r="T138" s="397">
        <v>1545</v>
      </c>
      <c r="U138" s="397">
        <v>285</v>
      </c>
      <c r="V138" s="397">
        <v>335</v>
      </c>
      <c r="W138" s="397">
        <v>394</v>
      </c>
      <c r="X138" s="397">
        <v>380</v>
      </c>
      <c r="Y138" s="399">
        <f>S138-('FMTC Main'!$E$22-U138)</f>
        <v>1860</v>
      </c>
      <c r="Z138" s="399">
        <f>T138-('FMTC Main'!$E$27-V138)</f>
        <v>1880</v>
      </c>
      <c r="AA138" s="400" t="str">
        <f>A138&amp;" "&amp;B138&amp;" "&amp;C138</f>
        <v>2009 Chevrolet Corvette ZR1</v>
      </c>
    </row>
    <row r="139" spans="1:27" ht="12.95" customHeight="1">
      <c r="A139" s="394">
        <v>1970</v>
      </c>
      <c r="B139" s="394" t="s">
        <v>115</v>
      </c>
      <c r="C139" s="394" t="s">
        <v>1040</v>
      </c>
      <c r="D139" s="395">
        <v>100000</v>
      </c>
      <c r="E139" s="394" t="s">
        <v>1092</v>
      </c>
      <c r="F139" s="394">
        <v>633</v>
      </c>
      <c r="G139" s="396">
        <v>9.4</v>
      </c>
      <c r="H139" s="396">
        <v>5.9</v>
      </c>
      <c r="I139" s="396">
        <v>8.5</v>
      </c>
      <c r="J139" s="396">
        <v>7.6</v>
      </c>
      <c r="K139" s="396">
        <v>5.8</v>
      </c>
      <c r="L139" s="394" t="s">
        <v>1075</v>
      </c>
      <c r="M139" s="394"/>
      <c r="N139" s="389">
        <f>AVERAGE(H139,I139,K139)</f>
        <v>6.7333333333333334</v>
      </c>
      <c r="O139" s="397">
        <v>3373</v>
      </c>
      <c r="P139" s="398">
        <v>1753</v>
      </c>
      <c r="Q139" s="397">
        <v>1214</v>
      </c>
      <c r="R139" s="397">
        <v>2489</v>
      </c>
      <c r="S139" s="397">
        <v>1491</v>
      </c>
      <c r="T139" s="397">
        <v>1509</v>
      </c>
      <c r="U139" s="397">
        <v>215</v>
      </c>
      <c r="V139" s="397">
        <v>215</v>
      </c>
      <c r="W139" s="397">
        <v>299</v>
      </c>
      <c r="X139" s="397">
        <v>299</v>
      </c>
      <c r="Y139" s="399">
        <f>S139-('FMTC Main'!$E$22-U139)</f>
        <v>1706</v>
      </c>
      <c r="Z139" s="399">
        <f>T139-('FMTC Main'!$E$27-V139)</f>
        <v>1724</v>
      </c>
      <c r="AA139" s="400" t="str">
        <f>A139&amp;" "&amp;B139&amp;" "&amp;C139</f>
        <v>1970 Chevrolet Corvette ZR-1</v>
      </c>
    </row>
    <row r="140" spans="1:27" ht="12.95" customHeight="1">
      <c r="A140" s="394">
        <v>1970</v>
      </c>
      <c r="B140" s="394" t="s">
        <v>115</v>
      </c>
      <c r="C140" s="394" t="s">
        <v>833</v>
      </c>
      <c r="D140" s="395">
        <v>26000</v>
      </c>
      <c r="E140" s="394" t="s">
        <v>1085</v>
      </c>
      <c r="F140" s="394">
        <v>302</v>
      </c>
      <c r="G140" s="396">
        <v>5.8</v>
      </c>
      <c r="H140" s="396">
        <v>3</v>
      </c>
      <c r="I140" s="396">
        <v>6.9</v>
      </c>
      <c r="J140" s="396">
        <v>5.7</v>
      </c>
      <c r="K140" s="396">
        <v>3</v>
      </c>
      <c r="L140" s="394" t="s">
        <v>1075</v>
      </c>
      <c r="M140" s="394"/>
      <c r="N140" s="389">
        <f>AVERAGE(H140,I140,K140)</f>
        <v>4.3</v>
      </c>
      <c r="O140" s="397">
        <v>3820</v>
      </c>
      <c r="P140" s="398">
        <v>1915</v>
      </c>
      <c r="Q140" s="397">
        <v>1382</v>
      </c>
      <c r="R140" s="397">
        <v>2946</v>
      </c>
      <c r="S140" s="397">
        <v>1529</v>
      </c>
      <c r="T140" s="397">
        <v>1521</v>
      </c>
      <c r="U140" s="397">
        <v>215</v>
      </c>
      <c r="V140" s="397">
        <v>215</v>
      </c>
      <c r="W140" s="397">
        <v>279</v>
      </c>
      <c r="X140" s="397">
        <v>241</v>
      </c>
      <c r="Y140" s="399">
        <f>S140-('FMTC Main'!$E$22-U140)</f>
        <v>1744</v>
      </c>
      <c r="Z140" s="399">
        <f>T140-('FMTC Main'!$E$27-V140)</f>
        <v>1736</v>
      </c>
      <c r="AA140" s="400" t="str">
        <f>A140&amp;" "&amp;B140&amp;" "&amp;C140</f>
        <v>1970 Chevrolet El Camino SS 454</v>
      </c>
    </row>
    <row r="141" spans="1:27" ht="12.95" customHeight="1">
      <c r="A141" s="402">
        <v>1996</v>
      </c>
      <c r="B141" s="402" t="s">
        <v>115</v>
      </c>
      <c r="C141" s="402" t="s">
        <v>1160</v>
      </c>
      <c r="D141" s="403">
        <v>9000</v>
      </c>
      <c r="E141" s="402" t="s">
        <v>1085</v>
      </c>
      <c r="F141" s="402">
        <v>276</v>
      </c>
      <c r="G141" s="404">
        <v>5.6</v>
      </c>
      <c r="H141" s="404">
        <v>4.5</v>
      </c>
      <c r="I141" s="404">
        <v>5.2</v>
      </c>
      <c r="J141" s="404">
        <v>5</v>
      </c>
      <c r="K141" s="404">
        <v>4.3</v>
      </c>
      <c r="L141" s="402" t="s">
        <v>1075</v>
      </c>
      <c r="M141" s="402" t="s">
        <v>1154</v>
      </c>
      <c r="N141" s="389">
        <f>AVERAGE(H141,I141,K141)</f>
        <v>4.666666666666667</v>
      </c>
      <c r="O141" s="405">
        <v>4037</v>
      </c>
      <c r="P141" s="405">
        <v>1860</v>
      </c>
      <c r="Q141" s="405">
        <v>1470</v>
      </c>
      <c r="R141" s="405">
        <v>2950</v>
      </c>
      <c r="S141" s="405">
        <v>1582</v>
      </c>
      <c r="T141" s="405">
        <v>1593</v>
      </c>
      <c r="U141" s="405">
        <v>255</v>
      </c>
      <c r="V141" s="405">
        <v>255</v>
      </c>
      <c r="W141" s="405">
        <v>302</v>
      </c>
      <c r="X141" s="405">
        <v>295</v>
      </c>
      <c r="Y141" s="406">
        <f>S141-('FMTC Main'!$E$22-U141)</f>
        <v>1837</v>
      </c>
      <c r="Z141" s="406">
        <f>T141-('FMTC Main'!$E$27-V141)</f>
        <v>1848</v>
      </c>
      <c r="AA141" s="407" t="str">
        <f>A141&amp;" "&amp;B141&amp;" "&amp;C141</f>
        <v>1996 Chevrolet Impala SS</v>
      </c>
    </row>
    <row r="142" spans="1:27" ht="12.95" customHeight="1">
      <c r="A142" s="394">
        <v>1964</v>
      </c>
      <c r="B142" s="394" t="s">
        <v>115</v>
      </c>
      <c r="C142" s="394" t="s">
        <v>830</v>
      </c>
      <c r="D142" s="395">
        <v>35000</v>
      </c>
      <c r="E142" s="394" t="s">
        <v>1085</v>
      </c>
      <c r="F142" s="394">
        <v>318</v>
      </c>
      <c r="G142" s="396">
        <v>5</v>
      </c>
      <c r="H142" s="396">
        <v>3.8</v>
      </c>
      <c r="I142" s="396">
        <v>6.7</v>
      </c>
      <c r="J142" s="396">
        <v>5.3</v>
      </c>
      <c r="K142" s="396">
        <v>3.8</v>
      </c>
      <c r="L142" s="394" t="s">
        <v>1075</v>
      </c>
      <c r="M142" s="394"/>
      <c r="N142" s="389">
        <f>AVERAGE(H142,I142,K142)</f>
        <v>4.7666666666666666</v>
      </c>
      <c r="O142" s="397">
        <v>3877</v>
      </c>
      <c r="P142" s="398">
        <v>1956</v>
      </c>
      <c r="Q142" s="397">
        <v>1400</v>
      </c>
      <c r="R142" s="397">
        <v>3023</v>
      </c>
      <c r="S142" s="397">
        <v>1532</v>
      </c>
      <c r="T142" s="397">
        <v>1506</v>
      </c>
      <c r="U142" s="397">
        <v>205</v>
      </c>
      <c r="V142" s="397">
        <v>205</v>
      </c>
      <c r="W142" s="397">
        <v>281</v>
      </c>
      <c r="X142" s="397">
        <v>281</v>
      </c>
      <c r="Y142" s="399">
        <f>S142-('FMTC Main'!$E$22-U142)</f>
        <v>1737</v>
      </c>
      <c r="Z142" s="399">
        <f>T142-('FMTC Main'!$E$27-V142)</f>
        <v>1711</v>
      </c>
      <c r="AA142" s="400" t="str">
        <f>A142&amp;" "&amp;B142&amp;" "&amp;C142</f>
        <v>1964 Chevrolet Impala SS 409</v>
      </c>
    </row>
    <row r="143" spans="1:27" ht="12.95" customHeight="1">
      <c r="A143" s="394">
        <v>1966</v>
      </c>
      <c r="B143" s="394" t="s">
        <v>115</v>
      </c>
      <c r="C143" s="394" t="s">
        <v>831</v>
      </c>
      <c r="D143" s="395">
        <v>78000</v>
      </c>
      <c r="E143" s="394" t="s">
        <v>1085</v>
      </c>
      <c r="F143" s="394">
        <v>307</v>
      </c>
      <c r="G143" s="396">
        <v>4.7</v>
      </c>
      <c r="H143" s="396">
        <v>3.6</v>
      </c>
      <c r="I143" s="396">
        <v>6.8</v>
      </c>
      <c r="J143" s="396">
        <v>5.8</v>
      </c>
      <c r="K143" s="396">
        <v>3.6</v>
      </c>
      <c r="L143" s="394" t="s">
        <v>1075</v>
      </c>
      <c r="M143" s="394" t="s">
        <v>1098</v>
      </c>
      <c r="N143" s="389">
        <f>AVERAGE(H143,I143,K143)</f>
        <v>4.666666666666667</v>
      </c>
      <c r="O143" s="397">
        <v>3146</v>
      </c>
      <c r="P143" s="398">
        <v>1775</v>
      </c>
      <c r="Q143" s="397">
        <v>1407</v>
      </c>
      <c r="R143" s="397">
        <v>2794</v>
      </c>
      <c r="S143" s="397">
        <v>1443</v>
      </c>
      <c r="T143" s="397">
        <v>1430</v>
      </c>
      <c r="U143" s="397">
        <v>195</v>
      </c>
      <c r="V143" s="397">
        <v>195</v>
      </c>
      <c r="W143" s="397">
        <v>241</v>
      </c>
      <c r="X143" s="397">
        <v>241</v>
      </c>
      <c r="Y143" s="399">
        <f>S143-('FMTC Main'!$E$22-U143)</f>
        <v>1638</v>
      </c>
      <c r="Z143" s="399">
        <f>T143-('FMTC Main'!$E$27-V143)</f>
        <v>1625</v>
      </c>
      <c r="AA143" s="400" t="str">
        <f>A143&amp;" "&amp;B143&amp;" "&amp;C143</f>
        <v>1966 Chevrolet Nova SS</v>
      </c>
    </row>
    <row r="144" spans="1:27" ht="12.95" customHeight="1">
      <c r="A144" s="394">
        <v>2011</v>
      </c>
      <c r="B144" s="394" t="s">
        <v>115</v>
      </c>
      <c r="C144" s="394" t="s">
        <v>839</v>
      </c>
      <c r="D144" s="395">
        <v>10000</v>
      </c>
      <c r="E144" s="394" t="s">
        <v>1099</v>
      </c>
      <c r="F144" s="394">
        <v>116</v>
      </c>
      <c r="G144" s="396">
        <v>3</v>
      </c>
      <c r="H144" s="396">
        <v>4.0999999999999996</v>
      </c>
      <c r="I144" s="396">
        <v>3.5</v>
      </c>
      <c r="J144" s="396">
        <v>3.7</v>
      </c>
      <c r="K144" s="396">
        <v>4</v>
      </c>
      <c r="L144" s="394" t="s">
        <v>1075</v>
      </c>
      <c r="M144" s="394"/>
      <c r="N144" s="389">
        <f>AVERAGE(H144,I144,K144)</f>
        <v>3.8666666666666667</v>
      </c>
      <c r="O144" s="397">
        <v>1905</v>
      </c>
      <c r="P144" s="398">
        <v>1495</v>
      </c>
      <c r="Q144" s="397">
        <v>1500</v>
      </c>
      <c r="R144" s="397">
        <v>2375</v>
      </c>
      <c r="S144" s="397">
        <v>1310</v>
      </c>
      <c r="T144" s="397">
        <v>1275</v>
      </c>
      <c r="U144" s="397">
        <v>165</v>
      </c>
      <c r="V144" s="397">
        <v>165</v>
      </c>
      <c r="W144" s="397">
        <v>236</v>
      </c>
      <c r="X144" s="397">
        <v>200</v>
      </c>
      <c r="Y144" s="399">
        <f>S144-('FMTC Main'!$E$22-U144)</f>
        <v>1475</v>
      </c>
      <c r="Z144" s="399">
        <f>T144-('FMTC Main'!$E$27-V144)</f>
        <v>1440</v>
      </c>
      <c r="AA144" s="400" t="str">
        <f>A144&amp;" "&amp;B144&amp;" "&amp;C144</f>
        <v>2011 Chevrolet Spark</v>
      </c>
    </row>
    <row r="145" spans="1:27" ht="12.95" customHeight="1">
      <c r="A145" s="394">
        <v>2011</v>
      </c>
      <c r="B145" s="394" t="s">
        <v>115</v>
      </c>
      <c r="C145" s="394" t="s">
        <v>840</v>
      </c>
      <c r="D145" s="395">
        <v>33000</v>
      </c>
      <c r="E145" s="394" t="s">
        <v>1099</v>
      </c>
      <c r="F145" s="394">
        <v>190</v>
      </c>
      <c r="G145" s="396">
        <v>3.9</v>
      </c>
      <c r="H145" s="396">
        <v>4.2</v>
      </c>
      <c r="I145" s="396">
        <v>4.0999999999999996</v>
      </c>
      <c r="J145" s="396">
        <v>3.8</v>
      </c>
      <c r="K145" s="396">
        <v>4.0999999999999996</v>
      </c>
      <c r="L145" s="394" t="s">
        <v>1075</v>
      </c>
      <c r="M145" s="394"/>
      <c r="N145" s="389">
        <f>AVERAGE(H145,I145,K145)</f>
        <v>4.1333333333333337</v>
      </c>
      <c r="O145" s="397">
        <v>3825</v>
      </c>
      <c r="P145" s="398">
        <v>1788</v>
      </c>
      <c r="Q145" s="397">
        <v>1438</v>
      </c>
      <c r="R145" s="397">
        <v>2685</v>
      </c>
      <c r="S145" s="397">
        <v>1555</v>
      </c>
      <c r="T145" s="397">
        <v>1577</v>
      </c>
      <c r="U145" s="397">
        <v>215</v>
      </c>
      <c r="V145" s="397">
        <v>215</v>
      </c>
      <c r="W145" s="397">
        <v>300</v>
      </c>
      <c r="X145" s="397">
        <v>292</v>
      </c>
      <c r="Y145" s="399">
        <f>S145-('FMTC Main'!$E$22-U145)</f>
        <v>1770</v>
      </c>
      <c r="Z145" s="399">
        <f>T145-('FMTC Main'!$E$27-V145)</f>
        <v>1792</v>
      </c>
      <c r="AA145" s="400" t="str">
        <f>A145&amp;" "&amp;B145&amp;" "&amp;C145</f>
        <v>2011 Chevrolet Volt</v>
      </c>
    </row>
    <row r="146" spans="1:27" ht="12.95" customHeight="1">
      <c r="A146" s="394">
        <v>2008</v>
      </c>
      <c r="B146" s="394" t="s">
        <v>124</v>
      </c>
      <c r="C146" s="394" t="s">
        <v>125</v>
      </c>
      <c r="D146" s="395">
        <v>25000</v>
      </c>
      <c r="E146" s="394" t="s">
        <v>1088</v>
      </c>
      <c r="F146" s="394">
        <v>461</v>
      </c>
      <c r="G146" s="396">
        <v>6.8</v>
      </c>
      <c r="H146" s="396">
        <v>4.8</v>
      </c>
      <c r="I146" s="396">
        <v>7.2</v>
      </c>
      <c r="J146" s="396">
        <v>6.8</v>
      </c>
      <c r="K146" s="396">
        <v>4.8</v>
      </c>
      <c r="L146" s="394" t="s">
        <v>1075</v>
      </c>
      <c r="M146" s="394"/>
      <c r="N146" s="389">
        <f>AVERAGE(H146,I146,K146)</f>
        <v>5.6000000000000005</v>
      </c>
      <c r="O146" s="397">
        <v>4178</v>
      </c>
      <c r="P146" s="398">
        <v>1881</v>
      </c>
      <c r="Q146" s="397">
        <v>1471</v>
      </c>
      <c r="R146" s="397">
        <v>3048</v>
      </c>
      <c r="S146" s="397">
        <v>1600</v>
      </c>
      <c r="T146" s="397">
        <v>1603</v>
      </c>
      <c r="U146" s="397">
        <v>245</v>
      </c>
      <c r="V146" s="397">
        <v>255</v>
      </c>
      <c r="W146" s="397">
        <v>360</v>
      </c>
      <c r="X146" s="397">
        <v>350</v>
      </c>
      <c r="Y146" s="399">
        <f>S146-('FMTC Main'!$E$22-U146)</f>
        <v>1845</v>
      </c>
      <c r="Z146" s="399">
        <f>T146-('FMTC Main'!$E$27-V146)</f>
        <v>1858</v>
      </c>
      <c r="AA146" s="400" t="str">
        <f>A146&amp;" "&amp;B146&amp;" "&amp;C146</f>
        <v>2008 Chrysler 300C SRT-8</v>
      </c>
    </row>
    <row r="147" spans="1:27" ht="12.95" customHeight="1">
      <c r="A147" s="394">
        <v>2006</v>
      </c>
      <c r="B147" s="394" t="s">
        <v>124</v>
      </c>
      <c r="C147" s="394" t="s">
        <v>126</v>
      </c>
      <c r="D147" s="395">
        <v>15000</v>
      </c>
      <c r="E147" s="394" t="s">
        <v>1088</v>
      </c>
      <c r="F147" s="394">
        <v>446</v>
      </c>
      <c r="G147" s="396">
        <v>6.3</v>
      </c>
      <c r="H147" s="396">
        <v>4.9000000000000004</v>
      </c>
      <c r="I147" s="396">
        <v>6.9</v>
      </c>
      <c r="J147" s="396">
        <v>6.9</v>
      </c>
      <c r="K147" s="396">
        <v>4.8</v>
      </c>
      <c r="L147" s="394" t="s">
        <v>1075</v>
      </c>
      <c r="M147" s="394"/>
      <c r="N147" s="389">
        <f>AVERAGE(H147,I147,K147)</f>
        <v>5.5333333333333341</v>
      </c>
      <c r="O147" s="397">
        <v>3239</v>
      </c>
      <c r="P147" s="398">
        <v>1766</v>
      </c>
      <c r="Q147" s="397">
        <v>1307</v>
      </c>
      <c r="R147" s="397">
        <v>2400</v>
      </c>
      <c r="S147" s="397">
        <v>1493</v>
      </c>
      <c r="T147" s="397">
        <v>1502</v>
      </c>
      <c r="U147" s="397">
        <v>225</v>
      </c>
      <c r="V147" s="397">
        <v>255</v>
      </c>
      <c r="W147" s="397">
        <v>330</v>
      </c>
      <c r="X147" s="397">
        <v>300</v>
      </c>
      <c r="Y147" s="399">
        <f>S147-('FMTC Main'!$E$22-U147)</f>
        <v>1718</v>
      </c>
      <c r="Z147" s="399">
        <f>T147-('FMTC Main'!$E$27-V147)</f>
        <v>1757</v>
      </c>
      <c r="AA147" s="400" t="str">
        <f>A147&amp;" "&amp;B147&amp;" "&amp;C147</f>
        <v>2006 Chrysler Crossfire SRT6</v>
      </c>
    </row>
    <row r="148" spans="1:27" ht="12.95" customHeight="1">
      <c r="A148" s="394">
        <v>2004</v>
      </c>
      <c r="B148" s="394" t="s">
        <v>124</v>
      </c>
      <c r="C148" s="394" t="s">
        <v>329</v>
      </c>
      <c r="D148" s="395">
        <v>8000</v>
      </c>
      <c r="E148" s="394" t="s">
        <v>1083</v>
      </c>
      <c r="F148" s="394">
        <v>247</v>
      </c>
      <c r="G148" s="396">
        <v>3.3</v>
      </c>
      <c r="H148" s="396">
        <v>3.9</v>
      </c>
      <c r="I148" s="396">
        <v>5.3</v>
      </c>
      <c r="J148" s="396">
        <v>5.6</v>
      </c>
      <c r="K148" s="396">
        <v>3.9</v>
      </c>
      <c r="L148" s="394" t="s">
        <v>1075</v>
      </c>
      <c r="M148" s="394"/>
      <c r="N148" s="389">
        <f>AVERAGE(H148,I148,K148)</f>
        <v>4.3666666666666663</v>
      </c>
      <c r="O148" s="397">
        <v>3104</v>
      </c>
      <c r="P148" s="398">
        <v>1704</v>
      </c>
      <c r="Q148" s="397">
        <v>1569</v>
      </c>
      <c r="R148" s="397">
        <v>2616</v>
      </c>
      <c r="S148" s="397">
        <v>1481</v>
      </c>
      <c r="T148" s="397">
        <v>1478</v>
      </c>
      <c r="U148" s="397">
        <v>205</v>
      </c>
      <c r="V148" s="397">
        <v>205</v>
      </c>
      <c r="W148" s="397">
        <v>277</v>
      </c>
      <c r="X148" s="397">
        <v>219</v>
      </c>
      <c r="Y148" s="399">
        <f>S148-('FMTC Main'!$E$22-U148)</f>
        <v>1686</v>
      </c>
      <c r="Z148" s="399">
        <f>T148-('FMTC Main'!$E$27-V148)</f>
        <v>1683</v>
      </c>
      <c r="AA148" s="400" t="str">
        <f>A148&amp;" "&amp;B148&amp;" "&amp;C148</f>
        <v>2004 Chrysler PT Cruiser GT</v>
      </c>
    </row>
    <row r="149" spans="1:27" ht="12.95" customHeight="1">
      <c r="A149" s="394">
        <v>2011</v>
      </c>
      <c r="B149" s="394" t="s">
        <v>841</v>
      </c>
      <c r="C149" s="394" t="s">
        <v>842</v>
      </c>
      <c r="D149" s="395">
        <v>10000</v>
      </c>
      <c r="E149" s="394" t="s">
        <v>1099</v>
      </c>
      <c r="F149" s="394">
        <v>101</v>
      </c>
      <c r="G149" s="396">
        <v>3</v>
      </c>
      <c r="H149" s="396">
        <v>4.2</v>
      </c>
      <c r="I149" s="396">
        <v>3.3</v>
      </c>
      <c r="J149" s="396">
        <v>3.8</v>
      </c>
      <c r="K149" s="396">
        <v>4.2</v>
      </c>
      <c r="L149" s="394" t="s">
        <v>1097</v>
      </c>
      <c r="M149" s="394"/>
      <c r="N149" s="389">
        <f>AVERAGE(H149,I149,K149)</f>
        <v>3.9</v>
      </c>
      <c r="O149" s="397">
        <v>1764</v>
      </c>
      <c r="P149" s="398">
        <v>1630</v>
      </c>
      <c r="Q149" s="397">
        <v>1465</v>
      </c>
      <c r="R149" s="397">
        <v>2340</v>
      </c>
      <c r="S149" s="397">
        <v>1415</v>
      </c>
      <c r="T149" s="397">
        <v>1405</v>
      </c>
      <c r="U149" s="397">
        <v>155</v>
      </c>
      <c r="V149" s="397">
        <v>155</v>
      </c>
      <c r="W149" s="397">
        <v>247</v>
      </c>
      <c r="X149" s="397">
        <v>247</v>
      </c>
      <c r="Y149" s="399">
        <f>S149-('FMTC Main'!$E$22-U149)</f>
        <v>1570</v>
      </c>
      <c r="Z149" s="399">
        <f>T149-('FMTC Main'!$E$27-V149)</f>
        <v>1560</v>
      </c>
      <c r="AA149" s="400" t="str">
        <f>A149&amp;" "&amp;B149&amp;" "&amp;C149</f>
        <v>2011 Citroën C1</v>
      </c>
    </row>
    <row r="150" spans="1:27" ht="12.95" customHeight="1">
      <c r="A150" s="394">
        <v>2009</v>
      </c>
      <c r="B150" s="394" t="s">
        <v>841</v>
      </c>
      <c r="C150" s="394" t="s">
        <v>127</v>
      </c>
      <c r="D150" s="395">
        <v>22000</v>
      </c>
      <c r="E150" s="394" t="s">
        <v>1083</v>
      </c>
      <c r="F150" s="394">
        <v>275</v>
      </c>
      <c r="G150" s="396">
        <v>3.9</v>
      </c>
      <c r="H150" s="396">
        <v>4.3</v>
      </c>
      <c r="I150" s="396">
        <v>5.2</v>
      </c>
      <c r="J150" s="396">
        <v>5.7</v>
      </c>
      <c r="K150" s="396">
        <v>4.0999999999999996</v>
      </c>
      <c r="L150" s="394" t="s">
        <v>1097</v>
      </c>
      <c r="M150" s="394"/>
      <c r="N150" s="389">
        <f>AVERAGE(H150,I150,K150)</f>
        <v>4.5333333333333332</v>
      </c>
      <c r="O150" s="397">
        <v>2802</v>
      </c>
      <c r="P150" s="398">
        <v>1769</v>
      </c>
      <c r="Q150" s="397">
        <v>1458</v>
      </c>
      <c r="R150" s="397">
        <v>2608</v>
      </c>
      <c r="S150" s="397">
        <v>1505</v>
      </c>
      <c r="T150" s="397">
        <v>1510</v>
      </c>
      <c r="U150" s="397">
        <v>205</v>
      </c>
      <c r="V150" s="397">
        <v>205</v>
      </c>
      <c r="W150" s="397">
        <v>266</v>
      </c>
      <c r="X150" s="397">
        <v>249</v>
      </c>
      <c r="Y150" s="399">
        <f>S150-('FMTC Main'!$E$22-U150)</f>
        <v>1710</v>
      </c>
      <c r="Z150" s="399">
        <f>T150-('FMTC Main'!$E$27-V150)</f>
        <v>1715</v>
      </c>
      <c r="AA150" s="400" t="str">
        <f>A150&amp;" "&amp;B150&amp;" "&amp;C150</f>
        <v>2009 Citroën C4 VTS</v>
      </c>
    </row>
    <row r="151" spans="1:27" ht="12.95" customHeight="1">
      <c r="A151" s="394">
        <v>2011</v>
      </c>
      <c r="B151" s="394" t="s">
        <v>841</v>
      </c>
      <c r="C151" s="394" t="s">
        <v>684</v>
      </c>
      <c r="D151" s="395">
        <v>24000</v>
      </c>
      <c r="E151" s="394" t="s">
        <v>1085</v>
      </c>
      <c r="F151" s="394">
        <v>291</v>
      </c>
      <c r="G151" s="396">
        <v>3.7</v>
      </c>
      <c r="H151" s="396">
        <v>4.2</v>
      </c>
      <c r="I151" s="396">
        <v>5.5</v>
      </c>
      <c r="J151" s="396">
        <v>6</v>
      </c>
      <c r="K151" s="396">
        <v>4.0999999999999996</v>
      </c>
      <c r="L151" s="394" t="s">
        <v>1097</v>
      </c>
      <c r="M151" s="394"/>
      <c r="N151" s="389">
        <f>AVERAGE(H151,I151,K151)</f>
        <v>4.5999999999999996</v>
      </c>
      <c r="O151" s="397">
        <v>2568</v>
      </c>
      <c r="P151" s="398">
        <v>1715</v>
      </c>
      <c r="Q151" s="397">
        <v>1458</v>
      </c>
      <c r="R151" s="397">
        <v>2452</v>
      </c>
      <c r="S151" s="397">
        <v>1465</v>
      </c>
      <c r="T151" s="397">
        <v>1467</v>
      </c>
      <c r="U151" s="397">
        <v>205</v>
      </c>
      <c r="V151" s="397">
        <v>205</v>
      </c>
      <c r="W151" s="397">
        <v>283</v>
      </c>
      <c r="X151" s="397">
        <v>249</v>
      </c>
      <c r="Y151" s="399">
        <f>S151-('FMTC Main'!$E$22-U151)</f>
        <v>1670</v>
      </c>
      <c r="Z151" s="399">
        <f>T151-('FMTC Main'!$E$27-V151)</f>
        <v>1672</v>
      </c>
      <c r="AA151" s="400" t="str">
        <f>A151&amp;" "&amp;B151&amp;" "&amp;C151</f>
        <v>2011 Citroën DS3</v>
      </c>
    </row>
    <row r="152" spans="1:27" ht="12.95" customHeight="1">
      <c r="A152" s="394">
        <v>1971</v>
      </c>
      <c r="B152" s="394" t="s">
        <v>685</v>
      </c>
      <c r="C152" s="394" t="s">
        <v>686</v>
      </c>
      <c r="D152" s="395">
        <v>45000</v>
      </c>
      <c r="E152" s="394" t="s">
        <v>1087</v>
      </c>
      <c r="F152" s="394">
        <v>399</v>
      </c>
      <c r="G152" s="396">
        <v>4.8</v>
      </c>
      <c r="H152" s="396">
        <v>4.4000000000000004</v>
      </c>
      <c r="I152" s="396">
        <v>6.7</v>
      </c>
      <c r="J152" s="396">
        <v>7.3</v>
      </c>
      <c r="K152" s="396">
        <v>4.2</v>
      </c>
      <c r="L152" s="394" t="s">
        <v>1084</v>
      </c>
      <c r="M152" s="394"/>
      <c r="N152" s="389">
        <f>AVERAGE(H152,I152,K152)</f>
        <v>5.1000000000000005</v>
      </c>
      <c r="O152" s="397">
        <v>3155</v>
      </c>
      <c r="P152" s="398">
        <v>1702</v>
      </c>
      <c r="Q152" s="397">
        <v>1102</v>
      </c>
      <c r="R152" s="397">
        <v>2500</v>
      </c>
      <c r="S152" s="397">
        <v>1448</v>
      </c>
      <c r="T152" s="397">
        <v>1473</v>
      </c>
      <c r="U152" s="397">
        <v>185</v>
      </c>
      <c r="V152" s="397">
        <v>215</v>
      </c>
      <c r="W152" s="397">
        <v>332</v>
      </c>
      <c r="X152" s="397">
        <v>314</v>
      </c>
      <c r="Y152" s="399">
        <f>S152-('FMTC Main'!$E$22-U152)</f>
        <v>1633</v>
      </c>
      <c r="Z152" s="399">
        <f>T152-('FMTC Main'!$E$27-V152)</f>
        <v>1688</v>
      </c>
      <c r="AA152" s="400" t="str">
        <f>A152&amp;" "&amp;B152&amp;" "&amp;C152</f>
        <v>1971 De Tomaso Pantera</v>
      </c>
    </row>
    <row r="153" spans="1:27" ht="12.95" customHeight="1">
      <c r="A153" s="394">
        <v>1982</v>
      </c>
      <c r="B153" s="394" t="s">
        <v>687</v>
      </c>
      <c r="C153" s="394" t="s">
        <v>688</v>
      </c>
      <c r="D153" s="395">
        <v>14000</v>
      </c>
      <c r="E153" s="394" t="s">
        <v>1092</v>
      </c>
      <c r="F153" s="394">
        <v>638</v>
      </c>
      <c r="G153" s="396">
        <v>9.1999999999999993</v>
      </c>
      <c r="H153" s="396">
        <v>6.1</v>
      </c>
      <c r="I153" s="396">
        <v>8.5</v>
      </c>
      <c r="J153" s="396">
        <v>7.7</v>
      </c>
      <c r="K153" s="396">
        <v>5.9</v>
      </c>
      <c r="L153" s="394" t="s">
        <v>1075</v>
      </c>
      <c r="M153" s="394"/>
      <c r="N153" s="389">
        <f>AVERAGE(H153,I153,K153)</f>
        <v>6.833333333333333</v>
      </c>
      <c r="O153" s="397">
        <v>2840</v>
      </c>
      <c r="P153" s="398">
        <v>1850</v>
      </c>
      <c r="Q153" s="397">
        <v>1170</v>
      </c>
      <c r="R153" s="397">
        <v>2408</v>
      </c>
      <c r="S153" s="397">
        <v>1661</v>
      </c>
      <c r="T153" s="397">
        <v>1590</v>
      </c>
      <c r="U153" s="397">
        <v>195</v>
      </c>
      <c r="V153" s="397">
        <v>235</v>
      </c>
      <c r="W153" s="397">
        <v>254</v>
      </c>
      <c r="X153" s="397">
        <v>267</v>
      </c>
      <c r="Y153" s="399">
        <f>S153-('FMTC Main'!$E$22-U153)</f>
        <v>1856</v>
      </c>
      <c r="Z153" s="399">
        <f>T153-('FMTC Main'!$E$27-V153)</f>
        <v>1825</v>
      </c>
      <c r="AA153" s="400" t="str">
        <f>A153&amp;" "&amp;B153&amp;" "&amp;C153</f>
        <v>1982 DeLorean DMC-12</v>
      </c>
    </row>
    <row r="154" spans="1:27" ht="12.95" customHeight="1">
      <c r="A154" s="394">
        <v>2010</v>
      </c>
      <c r="B154" s="394" t="s">
        <v>689</v>
      </c>
      <c r="C154" s="394" t="s">
        <v>690</v>
      </c>
      <c r="D154" s="395">
        <v>300000</v>
      </c>
      <c r="E154" s="394" t="s">
        <v>1099</v>
      </c>
      <c r="F154" s="394">
        <v>177</v>
      </c>
      <c r="G154" s="396">
        <v>3.3</v>
      </c>
      <c r="H154" s="396">
        <v>4.7</v>
      </c>
      <c r="I154" s="396">
        <v>4.0999999999999996</v>
      </c>
      <c r="J154" s="396">
        <v>4.2</v>
      </c>
      <c r="K154" s="396">
        <v>4.5</v>
      </c>
      <c r="L154" s="394" t="s">
        <v>1075</v>
      </c>
      <c r="M154" s="394"/>
      <c r="N154" s="389">
        <f>AVERAGE(H154,I154,K154)</f>
        <v>4.4333333333333336</v>
      </c>
      <c r="O154" s="397">
        <v>3200</v>
      </c>
      <c r="P154" s="398">
        <v>1994</v>
      </c>
      <c r="Q154" s="397">
        <v>1230</v>
      </c>
      <c r="R154" s="397">
        <v>2509</v>
      </c>
      <c r="S154" s="397">
        <v>1525</v>
      </c>
      <c r="T154" s="397">
        <v>1549</v>
      </c>
      <c r="U154" s="397">
        <v>295</v>
      </c>
      <c r="V154" s="397">
        <v>345</v>
      </c>
      <c r="W154" s="397">
        <v>380</v>
      </c>
      <c r="X154" s="397">
        <v>355</v>
      </c>
      <c r="Y154" s="399">
        <f>S154-('FMTC Main'!$E$22-U154)</f>
        <v>1820</v>
      </c>
      <c r="Z154" s="399">
        <f>T154-('FMTC Main'!$E$27-V154)</f>
        <v>1894</v>
      </c>
      <c r="AA154" s="400" t="str">
        <f>A154&amp;" "&amp;B154&amp;" "&amp;C154</f>
        <v>2010 Devon GTX</v>
      </c>
    </row>
    <row r="155" spans="1:27" ht="12.95" customHeight="1">
      <c r="A155" s="394">
        <v>2008</v>
      </c>
      <c r="B155" s="394" t="s">
        <v>128</v>
      </c>
      <c r="C155" s="394" t="s">
        <v>849</v>
      </c>
      <c r="D155" s="395">
        <v>900000</v>
      </c>
      <c r="E155" s="394" t="s">
        <v>1094</v>
      </c>
      <c r="F155" s="394">
        <v>730</v>
      </c>
      <c r="G155" s="396">
        <v>6.9</v>
      </c>
      <c r="H155" s="396">
        <v>7.7</v>
      </c>
      <c r="I155" s="396">
        <v>8.6999999999999993</v>
      </c>
      <c r="J155" s="396">
        <v>8.1</v>
      </c>
      <c r="K155" s="396">
        <v>7.6</v>
      </c>
      <c r="L155" s="394" t="s">
        <v>1075</v>
      </c>
      <c r="M155" s="394"/>
      <c r="N155" s="389">
        <f>AVERAGE(H155,I155,K155)</f>
        <v>8</v>
      </c>
      <c r="O155" s="397">
        <v>2995</v>
      </c>
      <c r="P155" s="398">
        <v>1910</v>
      </c>
      <c r="Q155" s="397">
        <v>1210</v>
      </c>
      <c r="R155" s="397">
        <v>2510</v>
      </c>
      <c r="S155" s="397">
        <v>1565</v>
      </c>
      <c r="T155" s="397">
        <v>1547</v>
      </c>
      <c r="U155" s="397">
        <v>305</v>
      </c>
      <c r="V155" s="397">
        <v>345</v>
      </c>
      <c r="W155" s="397">
        <v>355</v>
      </c>
      <c r="X155" s="397">
        <v>355</v>
      </c>
      <c r="Y155" s="399">
        <f>S155-('FMTC Main'!$E$22-U155)</f>
        <v>1870</v>
      </c>
      <c r="Z155" s="399">
        <f>T155-('FMTC Main'!$E$27-V155)</f>
        <v>1892</v>
      </c>
      <c r="AA155" s="400" t="str">
        <f>A155&amp;" "&amp;B155&amp;" "&amp;C155</f>
        <v>2008 Dodge #11 Primetime Racing Viper Competition Coupe</v>
      </c>
    </row>
    <row r="156" spans="1:27" ht="12.95" customHeight="1">
      <c r="A156" s="394">
        <v>2003</v>
      </c>
      <c r="B156" s="394" t="s">
        <v>128</v>
      </c>
      <c r="C156" s="394" t="s">
        <v>330</v>
      </c>
      <c r="D156" s="395">
        <v>1100000</v>
      </c>
      <c r="E156" s="394" t="s">
        <v>1091</v>
      </c>
      <c r="F156" s="394">
        <v>811</v>
      </c>
      <c r="G156" s="396">
        <v>7.2</v>
      </c>
      <c r="H156" s="396">
        <v>8.1</v>
      </c>
      <c r="I156" s="396">
        <v>9.3000000000000007</v>
      </c>
      <c r="J156" s="396">
        <v>8.3000000000000007</v>
      </c>
      <c r="K156" s="396">
        <v>8.1999999999999993</v>
      </c>
      <c r="L156" s="394" t="s">
        <v>1075</v>
      </c>
      <c r="M156" s="394"/>
      <c r="N156" s="389">
        <f>AVERAGE(H156,I156,K156)</f>
        <v>8.5333333333333332</v>
      </c>
      <c r="O156" s="397">
        <v>2535</v>
      </c>
      <c r="P156" s="398">
        <v>1936</v>
      </c>
      <c r="Q156" s="397">
        <v>1194</v>
      </c>
      <c r="R156" s="397">
        <v>2510</v>
      </c>
      <c r="S156" s="397">
        <v>1525</v>
      </c>
      <c r="T156" s="397">
        <v>1549</v>
      </c>
      <c r="U156" s="397">
        <v>270</v>
      </c>
      <c r="V156" s="397">
        <v>330</v>
      </c>
      <c r="W156" s="397">
        <v>330</v>
      </c>
      <c r="X156" s="397">
        <v>330</v>
      </c>
      <c r="Y156" s="399">
        <f>S156-('FMTC Main'!$E$22-U156)</f>
        <v>1795</v>
      </c>
      <c r="Z156" s="399">
        <f>T156-('FMTC Main'!$E$27-V156)</f>
        <v>1879</v>
      </c>
      <c r="AA156" s="400" t="str">
        <f>A156&amp;" "&amp;B156&amp;" "&amp;C156</f>
        <v>2003 Dodge #126 Team Zakspeed Viper GTS-R</v>
      </c>
    </row>
    <row r="157" spans="1:27" ht="12.95" customHeight="1">
      <c r="A157" s="394">
        <v>2008</v>
      </c>
      <c r="B157" s="394" t="s">
        <v>128</v>
      </c>
      <c r="C157" s="394" t="s">
        <v>1129</v>
      </c>
      <c r="D157" s="395">
        <v>900000</v>
      </c>
      <c r="E157" s="394" t="s">
        <v>1094</v>
      </c>
      <c r="F157" s="394">
        <v>730</v>
      </c>
      <c r="G157" s="396">
        <v>6.9</v>
      </c>
      <c r="H157" s="396">
        <v>7.7</v>
      </c>
      <c r="I157" s="396">
        <v>8.6999999999999993</v>
      </c>
      <c r="J157" s="396">
        <v>8.1</v>
      </c>
      <c r="K157" s="396">
        <v>7.6</v>
      </c>
      <c r="L157" s="394" t="s">
        <v>1075</v>
      </c>
      <c r="M157" s="394"/>
      <c r="N157" s="389">
        <f>AVERAGE(H157,I157,K157)</f>
        <v>8</v>
      </c>
      <c r="O157" s="397">
        <v>2995</v>
      </c>
      <c r="P157" s="398">
        <v>1910</v>
      </c>
      <c r="Q157" s="397">
        <v>1210</v>
      </c>
      <c r="R157" s="397">
        <v>2510</v>
      </c>
      <c r="S157" s="397">
        <v>1565</v>
      </c>
      <c r="T157" s="397">
        <v>1547</v>
      </c>
      <c r="U157" s="397">
        <v>305</v>
      </c>
      <c r="V157" s="397">
        <v>345</v>
      </c>
      <c r="W157" s="397">
        <v>355</v>
      </c>
      <c r="X157" s="397">
        <v>355</v>
      </c>
      <c r="Y157" s="399">
        <f>S157-('FMTC Main'!$E$22-U157)</f>
        <v>1870</v>
      </c>
      <c r="Z157" s="399">
        <f>T157-('FMTC Main'!$E$27-V157)</f>
        <v>1892</v>
      </c>
      <c r="AA157" s="400" t="str">
        <f>A157&amp;" "&amp;B157&amp;" "&amp;C157</f>
        <v>2008 Dodge #2 Mopar Dodge Viper Competition Coupe</v>
      </c>
    </row>
    <row r="158" spans="1:27" ht="12.95" customHeight="1">
      <c r="A158" s="394">
        <v>2000</v>
      </c>
      <c r="B158" s="394" t="s">
        <v>128</v>
      </c>
      <c r="C158" s="394" t="s">
        <v>846</v>
      </c>
      <c r="D158" s="395">
        <v>1100000</v>
      </c>
      <c r="E158" s="394" t="s">
        <v>1091</v>
      </c>
      <c r="F158" s="394">
        <v>823</v>
      </c>
      <c r="G158" s="396">
        <v>7.5</v>
      </c>
      <c r="H158" s="396">
        <v>8.1</v>
      </c>
      <c r="I158" s="396">
        <v>9.3000000000000007</v>
      </c>
      <c r="J158" s="396">
        <v>8.3000000000000007</v>
      </c>
      <c r="K158" s="396">
        <v>8.1999999999999993</v>
      </c>
      <c r="L158" s="394" t="s">
        <v>1075</v>
      </c>
      <c r="M158" s="394"/>
      <c r="N158" s="389">
        <f>AVERAGE(H158,I158,K158)</f>
        <v>8.5333333333333332</v>
      </c>
      <c r="O158" s="397">
        <v>2535</v>
      </c>
      <c r="P158" s="398">
        <v>1936</v>
      </c>
      <c r="Q158" s="397">
        <v>1194</v>
      </c>
      <c r="R158" s="397">
        <v>2510</v>
      </c>
      <c r="S158" s="397">
        <v>1525</v>
      </c>
      <c r="T158" s="397">
        <v>1549</v>
      </c>
      <c r="U158" s="397">
        <v>270</v>
      </c>
      <c r="V158" s="397">
        <v>330</v>
      </c>
      <c r="W158" s="397">
        <v>330</v>
      </c>
      <c r="X158" s="397">
        <v>330</v>
      </c>
      <c r="Y158" s="399">
        <f>S158-('FMTC Main'!$E$22-U158)</f>
        <v>1795</v>
      </c>
      <c r="Z158" s="399">
        <f>T158-('FMTC Main'!$E$27-V158)</f>
        <v>1879</v>
      </c>
      <c r="AA158" s="400" t="str">
        <f>A158&amp;" "&amp;B158&amp;" "&amp;C158</f>
        <v>2000 Dodge #91 Team Oreca Viper GTS-R</v>
      </c>
    </row>
    <row r="159" spans="1:27" ht="12.95" customHeight="1">
      <c r="A159" s="394">
        <v>1970</v>
      </c>
      <c r="B159" s="394" t="s">
        <v>128</v>
      </c>
      <c r="C159" s="394" t="s">
        <v>129</v>
      </c>
      <c r="D159" s="395">
        <v>120000</v>
      </c>
      <c r="E159" s="394" t="s">
        <v>1087</v>
      </c>
      <c r="F159" s="394">
        <v>351</v>
      </c>
      <c r="G159" s="396">
        <v>4.9000000000000004</v>
      </c>
      <c r="H159" s="396">
        <v>3.7</v>
      </c>
      <c r="I159" s="396">
        <v>7</v>
      </c>
      <c r="J159" s="396">
        <v>5.9</v>
      </c>
      <c r="K159" s="396">
        <v>3.7</v>
      </c>
      <c r="L159" s="394" t="s">
        <v>1075</v>
      </c>
      <c r="M159" s="394"/>
      <c r="N159" s="389">
        <f>AVERAGE(H159,I159,K159)</f>
        <v>4.8</v>
      </c>
      <c r="O159" s="397">
        <v>3800</v>
      </c>
      <c r="P159" s="398">
        <v>1933</v>
      </c>
      <c r="Q159" s="397">
        <v>1293</v>
      </c>
      <c r="R159" s="397">
        <v>2794</v>
      </c>
      <c r="S159" s="397">
        <v>1516</v>
      </c>
      <c r="T159" s="397">
        <v>1542</v>
      </c>
      <c r="U159" s="397">
        <v>225</v>
      </c>
      <c r="V159" s="397">
        <v>225</v>
      </c>
      <c r="W159" s="397">
        <v>279</v>
      </c>
      <c r="X159" s="397">
        <v>279</v>
      </c>
      <c r="Y159" s="399">
        <f>S159-('FMTC Main'!$E$22-U159)</f>
        <v>1741</v>
      </c>
      <c r="Z159" s="399">
        <f>T159-('FMTC Main'!$E$27-V159)</f>
        <v>1767</v>
      </c>
      <c r="AA159" s="400" t="str">
        <f>A159&amp;" "&amp;B159&amp;" "&amp;C159</f>
        <v>1970 Dodge Challenger R/T Hemi</v>
      </c>
    </row>
    <row r="160" spans="1:27" ht="12.95" customHeight="1">
      <c r="A160" s="394">
        <v>2009</v>
      </c>
      <c r="B160" s="394" t="s">
        <v>128</v>
      </c>
      <c r="C160" s="394" t="s">
        <v>851</v>
      </c>
      <c r="D160" s="395">
        <v>38000</v>
      </c>
      <c r="E160" s="394" t="s">
        <v>1088</v>
      </c>
      <c r="F160" s="394">
        <v>464</v>
      </c>
      <c r="G160" s="396">
        <v>6.9</v>
      </c>
      <c r="H160" s="396">
        <v>4.8</v>
      </c>
      <c r="I160" s="396">
        <v>7.4</v>
      </c>
      <c r="J160" s="396">
        <v>6.7</v>
      </c>
      <c r="K160" s="396">
        <v>4.8</v>
      </c>
      <c r="L160" s="394" t="s">
        <v>1075</v>
      </c>
      <c r="M160" s="394"/>
      <c r="N160" s="389">
        <f>AVERAGE(H160,I160,K160)</f>
        <v>5.666666666666667</v>
      </c>
      <c r="O160" s="397">
        <v>4140</v>
      </c>
      <c r="P160" s="398">
        <v>1923</v>
      </c>
      <c r="Q160" s="397">
        <v>1449</v>
      </c>
      <c r="R160" s="397">
        <v>2946</v>
      </c>
      <c r="S160" s="397">
        <v>1603</v>
      </c>
      <c r="T160" s="397">
        <v>1604</v>
      </c>
      <c r="U160" s="397">
        <v>245</v>
      </c>
      <c r="V160" s="397">
        <v>245</v>
      </c>
      <c r="W160" s="397">
        <v>345</v>
      </c>
      <c r="X160" s="397">
        <v>320</v>
      </c>
      <c r="Y160" s="399">
        <f>S160-('FMTC Main'!$E$22-U160)</f>
        <v>1848</v>
      </c>
      <c r="Z160" s="399">
        <f>T160-('FMTC Main'!$E$27-V160)</f>
        <v>1849</v>
      </c>
      <c r="AA160" s="400" t="str">
        <f>A160&amp;" "&amp;B160&amp;" "&amp;C160</f>
        <v>2009 Dodge Challenger SRT8</v>
      </c>
    </row>
    <row r="161" spans="1:27" ht="12.95" customHeight="1">
      <c r="A161" s="394">
        <v>1969</v>
      </c>
      <c r="B161" s="394" t="s">
        <v>128</v>
      </c>
      <c r="C161" s="394" t="s">
        <v>350</v>
      </c>
      <c r="D161" s="395">
        <v>350000</v>
      </c>
      <c r="E161" s="394" t="s">
        <v>1087</v>
      </c>
      <c r="F161" s="394">
        <v>366</v>
      </c>
      <c r="G161" s="396">
        <v>6</v>
      </c>
      <c r="H161" s="396">
        <v>4</v>
      </c>
      <c r="I161" s="396">
        <v>7</v>
      </c>
      <c r="J161" s="396">
        <v>6.3</v>
      </c>
      <c r="K161" s="396">
        <v>3.9</v>
      </c>
      <c r="L161" s="394" t="s">
        <v>1075</v>
      </c>
      <c r="M161" s="394"/>
      <c r="N161" s="389">
        <f>AVERAGE(H161,I161,K161)</f>
        <v>4.9666666666666668</v>
      </c>
      <c r="O161" s="397">
        <v>3875</v>
      </c>
      <c r="P161" s="398">
        <v>1946</v>
      </c>
      <c r="Q161" s="397">
        <v>1346</v>
      </c>
      <c r="R161" s="397">
        <v>2972</v>
      </c>
      <c r="S161" s="397">
        <v>1516</v>
      </c>
      <c r="T161" s="397">
        <v>1504</v>
      </c>
      <c r="U161" s="397">
        <v>225</v>
      </c>
      <c r="V161" s="397">
        <v>225</v>
      </c>
      <c r="W161" s="397">
        <v>278</v>
      </c>
      <c r="X161" s="397">
        <v>278</v>
      </c>
      <c r="Y161" s="399">
        <f>S161-('FMTC Main'!$E$22-U161)</f>
        <v>1741</v>
      </c>
      <c r="Z161" s="399">
        <f>T161-('FMTC Main'!$E$27-V161)</f>
        <v>1729</v>
      </c>
      <c r="AA161" s="400" t="str">
        <f>A161&amp;" "&amp;B161&amp;" "&amp;C161</f>
        <v>1969 Dodge Charger Daytona Hemi</v>
      </c>
    </row>
    <row r="162" spans="1:27" ht="12.95" customHeight="1">
      <c r="A162" s="394">
        <v>1969</v>
      </c>
      <c r="B162" s="394" t="s">
        <v>128</v>
      </c>
      <c r="C162" s="394" t="s">
        <v>130</v>
      </c>
      <c r="D162" s="395">
        <v>64000</v>
      </c>
      <c r="E162" s="394" t="s">
        <v>1085</v>
      </c>
      <c r="F162" s="394">
        <v>304</v>
      </c>
      <c r="G162" s="396">
        <v>4.3</v>
      </c>
      <c r="H162" s="396">
        <v>3.7</v>
      </c>
      <c r="I162" s="396">
        <v>6.7</v>
      </c>
      <c r="J162" s="396">
        <v>6.3</v>
      </c>
      <c r="K162" s="396">
        <v>3.7</v>
      </c>
      <c r="L162" s="394" t="s">
        <v>1075</v>
      </c>
      <c r="M162" s="394"/>
      <c r="N162" s="389">
        <f>AVERAGE(H162,I162,K162)</f>
        <v>4.7</v>
      </c>
      <c r="O162" s="397">
        <v>3671</v>
      </c>
      <c r="P162" s="398">
        <v>1946</v>
      </c>
      <c r="Q162" s="397">
        <v>1346</v>
      </c>
      <c r="R162" s="397">
        <v>2972</v>
      </c>
      <c r="S162" s="397">
        <v>1516</v>
      </c>
      <c r="T162" s="397">
        <v>1504</v>
      </c>
      <c r="U162" s="397">
        <v>215</v>
      </c>
      <c r="V162" s="397">
        <v>215</v>
      </c>
      <c r="W162" s="397">
        <v>278</v>
      </c>
      <c r="X162" s="397">
        <v>278</v>
      </c>
      <c r="Y162" s="399">
        <f>S162-('FMTC Main'!$E$22-U162)</f>
        <v>1731</v>
      </c>
      <c r="Z162" s="399">
        <f>T162-('FMTC Main'!$E$27-V162)</f>
        <v>1719</v>
      </c>
      <c r="AA162" s="400" t="str">
        <f>A162&amp;" "&amp;B162&amp;" "&amp;C162</f>
        <v>1969 Dodge Charger R/T</v>
      </c>
    </row>
    <row r="163" spans="1:27" ht="12.95" customHeight="1">
      <c r="A163" s="394">
        <v>2006</v>
      </c>
      <c r="B163" s="394" t="s">
        <v>128</v>
      </c>
      <c r="C163" s="394" t="s">
        <v>131</v>
      </c>
      <c r="D163" s="395">
        <v>24000</v>
      </c>
      <c r="E163" s="394" t="s">
        <v>1088</v>
      </c>
      <c r="F163" s="394">
        <v>456</v>
      </c>
      <c r="G163" s="396">
        <v>6.9</v>
      </c>
      <c r="H163" s="396">
        <v>4.8</v>
      </c>
      <c r="I163" s="396">
        <v>7.1</v>
      </c>
      <c r="J163" s="396">
        <v>6.8</v>
      </c>
      <c r="K163" s="396">
        <v>4.8</v>
      </c>
      <c r="L163" s="394" t="s">
        <v>1075</v>
      </c>
      <c r="M163" s="394"/>
      <c r="N163" s="389">
        <f>AVERAGE(H163,I163,K163)</f>
        <v>5.5666666666666664</v>
      </c>
      <c r="O163" s="397">
        <v>4160</v>
      </c>
      <c r="P163" s="398">
        <v>1891</v>
      </c>
      <c r="Q163" s="397">
        <v>1479</v>
      </c>
      <c r="R163" s="397">
        <v>3048</v>
      </c>
      <c r="S163" s="397">
        <v>1600</v>
      </c>
      <c r="T163" s="397">
        <v>1603</v>
      </c>
      <c r="U163" s="397">
        <v>245</v>
      </c>
      <c r="V163" s="397">
        <v>255</v>
      </c>
      <c r="W163" s="397">
        <v>360</v>
      </c>
      <c r="X163" s="397">
        <v>350</v>
      </c>
      <c r="Y163" s="399">
        <f>S163-('FMTC Main'!$E$22-U163)</f>
        <v>1845</v>
      </c>
      <c r="Z163" s="399">
        <f>T163-('FMTC Main'!$E$27-V163)</f>
        <v>1858</v>
      </c>
      <c r="AA163" s="400" t="str">
        <f>A163&amp;" "&amp;B163&amp;" "&amp;C163</f>
        <v>2006 Dodge Charger SRT8</v>
      </c>
    </row>
    <row r="164" spans="1:27" ht="12.95" customHeight="1">
      <c r="A164" s="402">
        <v>2012</v>
      </c>
      <c r="B164" s="402" t="s">
        <v>128</v>
      </c>
      <c r="C164" s="402" t="s">
        <v>131</v>
      </c>
      <c r="D164" s="403">
        <v>38000</v>
      </c>
      <c r="E164" s="402" t="s">
        <v>1088</v>
      </c>
      <c r="F164" s="402">
        <v>483</v>
      </c>
      <c r="G164" s="404">
        <v>7.8</v>
      </c>
      <c r="H164" s="404">
        <v>4.7</v>
      </c>
      <c r="I164" s="404">
        <v>7.3</v>
      </c>
      <c r="J164" s="404">
        <v>6.8</v>
      </c>
      <c r="K164" s="404">
        <v>4.7</v>
      </c>
      <c r="L164" s="402" t="s">
        <v>1075</v>
      </c>
      <c r="M164" s="394"/>
      <c r="N164" s="389">
        <f>AVERAGE(H164,I164,K164)</f>
        <v>5.5666666666666664</v>
      </c>
      <c r="O164" s="405">
        <v>4365</v>
      </c>
      <c r="P164" s="405">
        <v>1886</v>
      </c>
      <c r="Q164" s="405">
        <v>1480</v>
      </c>
      <c r="R164" s="405">
        <v>3052</v>
      </c>
      <c r="S164" s="405">
        <v>1611</v>
      </c>
      <c r="T164" s="405">
        <v>1604</v>
      </c>
      <c r="U164" s="405">
        <v>245</v>
      </c>
      <c r="V164" s="405">
        <v>245</v>
      </c>
      <c r="W164" s="405">
        <v>360</v>
      </c>
      <c r="X164" s="405">
        <v>350</v>
      </c>
      <c r="Y164" s="406">
        <f>S164-('FMTC Main'!$E$22-U164)</f>
        <v>1856</v>
      </c>
      <c r="Z164" s="406">
        <f>T164-('FMTC Main'!$E$27-V164)</f>
        <v>1849</v>
      </c>
      <c r="AA164" s="407" t="str">
        <f>A164&amp;" "&amp;B164&amp;" "&amp;C164</f>
        <v>2012 Dodge Charger SRT8</v>
      </c>
    </row>
    <row r="165" spans="1:27" ht="12.95" customHeight="1">
      <c r="A165" s="394">
        <v>1970</v>
      </c>
      <c r="B165" s="394" t="s">
        <v>128</v>
      </c>
      <c r="C165" s="394" t="s">
        <v>845</v>
      </c>
      <c r="D165" s="395">
        <v>250000</v>
      </c>
      <c r="E165" s="394" t="s">
        <v>1085</v>
      </c>
      <c r="F165" s="394">
        <v>304</v>
      </c>
      <c r="G165" s="396">
        <v>3.9</v>
      </c>
      <c r="H165" s="396">
        <v>3.8</v>
      </c>
      <c r="I165" s="396">
        <v>7.1</v>
      </c>
      <c r="J165" s="396">
        <v>6</v>
      </c>
      <c r="K165" s="396">
        <v>3.8</v>
      </c>
      <c r="L165" s="394" t="s">
        <v>1075</v>
      </c>
      <c r="M165" s="394" t="s">
        <v>1100</v>
      </c>
      <c r="N165" s="389">
        <f>AVERAGE(H165,I165,K165)</f>
        <v>4.8999999999999995</v>
      </c>
      <c r="O165" s="397">
        <v>3420</v>
      </c>
      <c r="P165" s="398">
        <v>1948</v>
      </c>
      <c r="Q165" s="397">
        <v>1330</v>
      </c>
      <c r="R165" s="397">
        <v>2972</v>
      </c>
      <c r="S165" s="397">
        <v>1516</v>
      </c>
      <c r="T165" s="397">
        <v>1504</v>
      </c>
      <c r="U165" s="397">
        <v>205</v>
      </c>
      <c r="V165" s="397">
        <v>205</v>
      </c>
      <c r="W165" s="397">
        <v>278</v>
      </c>
      <c r="X165" s="397">
        <v>278</v>
      </c>
      <c r="Y165" s="399">
        <f>S165-('FMTC Main'!$E$22-U165)</f>
        <v>1721</v>
      </c>
      <c r="Z165" s="399">
        <f>T165-('FMTC Main'!$E$27-V165)</f>
        <v>1709</v>
      </c>
      <c r="AA165" s="400" t="str">
        <f>A165&amp;" "&amp;B165&amp;" "&amp;C165</f>
        <v>1970 Dodge Coronet Super Bee</v>
      </c>
    </row>
    <row r="166" spans="1:27" ht="12.95" customHeight="1">
      <c r="A166" s="394">
        <v>1967</v>
      </c>
      <c r="B166" s="394" t="s">
        <v>128</v>
      </c>
      <c r="C166" s="394" t="s">
        <v>843</v>
      </c>
      <c r="D166" s="395">
        <v>180000</v>
      </c>
      <c r="E166" s="394" t="s">
        <v>1087</v>
      </c>
      <c r="F166" s="394">
        <v>352</v>
      </c>
      <c r="G166" s="396">
        <v>3</v>
      </c>
      <c r="H166" s="396">
        <v>3.6</v>
      </c>
      <c r="I166" s="396">
        <v>7.2</v>
      </c>
      <c r="J166" s="396">
        <v>5.9</v>
      </c>
      <c r="K166" s="396">
        <v>3.7</v>
      </c>
      <c r="L166" s="394" t="s">
        <v>1075</v>
      </c>
      <c r="M166" s="394" t="s">
        <v>1100</v>
      </c>
      <c r="N166" s="389">
        <f>AVERAGE(H166,I166,K166)</f>
        <v>4.833333333333333</v>
      </c>
      <c r="O166" s="397">
        <v>3395</v>
      </c>
      <c r="P166" s="398">
        <v>1956</v>
      </c>
      <c r="Q166" s="397">
        <v>1346</v>
      </c>
      <c r="R166" s="397">
        <v>2946</v>
      </c>
      <c r="S166" s="397">
        <v>1524</v>
      </c>
      <c r="T166" s="397">
        <v>1499</v>
      </c>
      <c r="U166" s="397">
        <v>205</v>
      </c>
      <c r="V166" s="397">
        <v>205</v>
      </c>
      <c r="W166" s="397">
        <v>278</v>
      </c>
      <c r="X166" s="397">
        <v>278</v>
      </c>
      <c r="Y166" s="399">
        <f>S166-('FMTC Main'!$E$22-U166)</f>
        <v>1729</v>
      </c>
      <c r="Z166" s="399">
        <f>T166-('FMTC Main'!$E$27-V166)</f>
        <v>1704</v>
      </c>
      <c r="AA166" s="400" t="str">
        <f>A166&amp;" "&amp;B166&amp;" "&amp;C166</f>
        <v>1967 Dodge Coronet W023</v>
      </c>
    </row>
    <row r="167" spans="1:27" ht="12.95" customHeight="1">
      <c r="A167" s="394">
        <v>1968</v>
      </c>
      <c r="B167" s="394" t="s">
        <v>128</v>
      </c>
      <c r="C167" s="394" t="s">
        <v>844</v>
      </c>
      <c r="D167" s="395">
        <v>350000</v>
      </c>
      <c r="E167" s="394" t="s">
        <v>1087</v>
      </c>
      <c r="F167" s="394">
        <v>387</v>
      </c>
      <c r="G167" s="396">
        <v>3</v>
      </c>
      <c r="H167" s="396">
        <v>3.7</v>
      </c>
      <c r="I167" s="396">
        <v>7.5</v>
      </c>
      <c r="J167" s="396">
        <v>6.3</v>
      </c>
      <c r="K167" s="396">
        <v>3.7</v>
      </c>
      <c r="L167" s="394" t="s">
        <v>1075</v>
      </c>
      <c r="M167" s="394" t="s">
        <v>1100</v>
      </c>
      <c r="N167" s="389">
        <f>AVERAGE(H167,I167,K167)</f>
        <v>4.9666666666666659</v>
      </c>
      <c r="O167" s="397">
        <v>3020</v>
      </c>
      <c r="P167" s="398">
        <v>1819</v>
      </c>
      <c r="Q167" s="397">
        <v>1372</v>
      </c>
      <c r="R167" s="397">
        <v>2819</v>
      </c>
      <c r="S167" s="397">
        <v>1475</v>
      </c>
      <c r="T167" s="397">
        <v>1430</v>
      </c>
      <c r="U167" s="397">
        <v>195</v>
      </c>
      <c r="V167" s="397">
        <v>215</v>
      </c>
      <c r="W167" s="397">
        <v>278</v>
      </c>
      <c r="X167" s="397">
        <v>278</v>
      </c>
      <c r="Y167" s="399">
        <f>S167-('FMTC Main'!$E$22-U167)</f>
        <v>1670</v>
      </c>
      <c r="Z167" s="399">
        <f>T167-('FMTC Main'!$E$27-V167)</f>
        <v>1645</v>
      </c>
      <c r="AA167" s="400" t="str">
        <f>A167&amp;" "&amp;B167&amp;" "&amp;C167</f>
        <v>1968 Dodge Dart HEMI Super Stock</v>
      </c>
    </row>
    <row r="168" spans="1:27" ht="12.95" customHeight="1">
      <c r="A168" s="394">
        <v>2006</v>
      </c>
      <c r="B168" s="394" t="s">
        <v>128</v>
      </c>
      <c r="C168" s="394" t="s">
        <v>132</v>
      </c>
      <c r="D168" s="395">
        <v>24000</v>
      </c>
      <c r="E168" s="394" t="s">
        <v>1087</v>
      </c>
      <c r="F168" s="394">
        <v>380</v>
      </c>
      <c r="G168" s="396">
        <v>5.5</v>
      </c>
      <c r="H168" s="396">
        <v>3.7</v>
      </c>
      <c r="I168" s="396">
        <v>7.2</v>
      </c>
      <c r="J168" s="396">
        <v>6.8</v>
      </c>
      <c r="K168" s="396">
        <v>4</v>
      </c>
      <c r="L168" s="394" t="s">
        <v>1075</v>
      </c>
      <c r="M168" s="394"/>
      <c r="N168" s="389">
        <f>AVERAGE(H168,I168,K168)</f>
        <v>4.9666666666666668</v>
      </c>
      <c r="O168" s="397">
        <v>5150</v>
      </c>
      <c r="P168" s="398">
        <v>2029</v>
      </c>
      <c r="Q168" s="397">
        <v>1890</v>
      </c>
      <c r="R168" s="397">
        <v>3061</v>
      </c>
      <c r="S168" s="397">
        <v>1727</v>
      </c>
      <c r="T168" s="397">
        <v>1712</v>
      </c>
      <c r="U168" s="397">
        <v>305</v>
      </c>
      <c r="V168" s="397">
        <v>305</v>
      </c>
      <c r="W168" s="397">
        <v>380</v>
      </c>
      <c r="X168" s="397">
        <v>360</v>
      </c>
      <c r="Y168" s="399">
        <f>S168-('FMTC Main'!$E$22-U168)</f>
        <v>2032</v>
      </c>
      <c r="Z168" s="399">
        <f>T168-('FMTC Main'!$E$27-V168)</f>
        <v>2017</v>
      </c>
      <c r="AA168" s="400" t="str">
        <f>A168&amp;" "&amp;B168&amp;" "&amp;C168</f>
        <v>2006 Dodge Ram SRT-10</v>
      </c>
    </row>
    <row r="169" spans="1:27" ht="12.95" customHeight="1">
      <c r="A169" s="402">
        <v>1986</v>
      </c>
      <c r="B169" s="402" t="s">
        <v>128</v>
      </c>
      <c r="C169" s="402" t="s">
        <v>1161</v>
      </c>
      <c r="D169" s="403">
        <v>5000</v>
      </c>
      <c r="E169" s="402" t="s">
        <v>1085</v>
      </c>
      <c r="F169" s="402">
        <v>309</v>
      </c>
      <c r="G169" s="404">
        <v>3.8</v>
      </c>
      <c r="H169" s="404">
        <v>4.5</v>
      </c>
      <c r="I169" s="404">
        <v>5.9</v>
      </c>
      <c r="J169" s="404">
        <v>6</v>
      </c>
      <c r="K169" s="404">
        <v>4.4000000000000004</v>
      </c>
      <c r="L169" s="402" t="s">
        <v>1075</v>
      </c>
      <c r="M169" s="402" t="s">
        <v>1154</v>
      </c>
      <c r="N169" s="389">
        <f>AVERAGE(H169,I169,K169)</f>
        <v>4.9333333333333336</v>
      </c>
      <c r="O169" s="405">
        <v>2540</v>
      </c>
      <c r="P169" s="405">
        <v>1697</v>
      </c>
      <c r="Q169" s="405">
        <v>1346</v>
      </c>
      <c r="R169" s="405">
        <v>2517</v>
      </c>
      <c r="S169" s="405">
        <v>1425</v>
      </c>
      <c r="T169" s="405">
        <v>1425</v>
      </c>
      <c r="U169" s="405">
        <v>205</v>
      </c>
      <c r="V169" s="405">
        <v>205</v>
      </c>
      <c r="W169" s="405">
        <v>259</v>
      </c>
      <c r="X169" s="405">
        <v>203</v>
      </c>
      <c r="Y169" s="406">
        <f>S169-('FMTC Main'!$E$22-U169)</f>
        <v>1630</v>
      </c>
      <c r="Z169" s="406">
        <f>T169-('FMTC Main'!$E$27-V169)</f>
        <v>1630</v>
      </c>
      <c r="AA169" s="407" t="str">
        <f>A169&amp;" "&amp;B169&amp;" "&amp;C169</f>
        <v>1986 Dodge Shelby Omni GLHS</v>
      </c>
    </row>
    <row r="170" spans="1:27" ht="12.95" customHeight="1">
      <c r="A170" s="394">
        <v>2005</v>
      </c>
      <c r="B170" s="394" t="s">
        <v>128</v>
      </c>
      <c r="C170" s="394" t="s">
        <v>848</v>
      </c>
      <c r="D170" s="395">
        <v>9000</v>
      </c>
      <c r="E170" s="394" t="s">
        <v>1088</v>
      </c>
      <c r="F170" s="394">
        <v>429</v>
      </c>
      <c r="G170" s="396">
        <v>5.0999999999999996</v>
      </c>
      <c r="H170" s="396">
        <v>4.5999999999999996</v>
      </c>
      <c r="I170" s="396">
        <v>6.8</v>
      </c>
      <c r="J170" s="396">
        <v>6.4</v>
      </c>
      <c r="K170" s="396">
        <v>4.5999999999999996</v>
      </c>
      <c r="L170" s="394" t="s">
        <v>1075</v>
      </c>
      <c r="M170" s="394"/>
      <c r="N170" s="389">
        <f>AVERAGE(H170,I170,K170)</f>
        <v>5.333333333333333</v>
      </c>
      <c r="O170" s="397">
        <v>2984</v>
      </c>
      <c r="P170" s="398">
        <v>1711</v>
      </c>
      <c r="Q170" s="397">
        <v>1421</v>
      </c>
      <c r="R170" s="397">
        <v>2670</v>
      </c>
      <c r="S170" s="397">
        <v>1474</v>
      </c>
      <c r="T170" s="397">
        <v>1476</v>
      </c>
      <c r="U170" s="397">
        <v>225</v>
      </c>
      <c r="V170" s="397">
        <v>225</v>
      </c>
      <c r="W170" s="397">
        <v>280</v>
      </c>
      <c r="X170" s="397">
        <v>270</v>
      </c>
      <c r="Y170" s="399">
        <f>S170-('FMTC Main'!$E$22-U170)</f>
        <v>1699</v>
      </c>
      <c r="Z170" s="399">
        <f>T170-('FMTC Main'!$E$27-V170)</f>
        <v>1701</v>
      </c>
      <c r="AA170" s="400" t="str">
        <f>A170&amp;" "&amp;B170&amp;" "&amp;C170</f>
        <v>2005 Dodge SRT4 ACR</v>
      </c>
    </row>
    <row r="171" spans="1:27" ht="12.95" customHeight="1">
      <c r="A171" s="394">
        <v>1996</v>
      </c>
      <c r="B171" s="394" t="s">
        <v>128</v>
      </c>
      <c r="C171" s="394" t="s">
        <v>331</v>
      </c>
      <c r="D171" s="395">
        <v>8000</v>
      </c>
      <c r="E171" s="394" t="s">
        <v>1088</v>
      </c>
      <c r="F171" s="394">
        <v>440</v>
      </c>
      <c r="G171" s="396">
        <v>6.2</v>
      </c>
      <c r="H171" s="396">
        <v>4.9000000000000004</v>
      </c>
      <c r="I171" s="396">
        <v>6.1</v>
      </c>
      <c r="J171" s="396">
        <v>6.7</v>
      </c>
      <c r="K171" s="396">
        <v>4.7</v>
      </c>
      <c r="L171" s="394" t="s">
        <v>1075</v>
      </c>
      <c r="M171" s="394"/>
      <c r="N171" s="389">
        <f>AVERAGE(H171,I171,K171)</f>
        <v>5.2333333333333334</v>
      </c>
      <c r="O171" s="397">
        <v>3792</v>
      </c>
      <c r="P171" s="398">
        <v>1839</v>
      </c>
      <c r="Q171" s="397">
        <v>1247</v>
      </c>
      <c r="R171" s="397">
        <v>2469</v>
      </c>
      <c r="S171" s="397">
        <v>1560</v>
      </c>
      <c r="T171" s="397">
        <v>1580</v>
      </c>
      <c r="U171" s="397">
        <v>245</v>
      </c>
      <c r="V171" s="397">
        <v>245</v>
      </c>
      <c r="W171" s="397">
        <v>314</v>
      </c>
      <c r="X171" s="397">
        <v>297</v>
      </c>
      <c r="Y171" s="399">
        <f>S171-('FMTC Main'!$E$22-U171)</f>
        <v>1805</v>
      </c>
      <c r="Z171" s="399">
        <f>T171-('FMTC Main'!$E$27-V171)</f>
        <v>1825</v>
      </c>
      <c r="AA171" s="400" t="str">
        <f>A171&amp;" "&amp;B171&amp;" "&amp;C171</f>
        <v>1996 Dodge Stealth R/T Turbo</v>
      </c>
    </row>
    <row r="172" spans="1:27" ht="12.95" customHeight="1">
      <c r="A172" s="394">
        <v>2003</v>
      </c>
      <c r="B172" s="394" t="s">
        <v>128</v>
      </c>
      <c r="C172" s="394" t="s">
        <v>133</v>
      </c>
      <c r="D172" s="395">
        <v>900000</v>
      </c>
      <c r="E172" s="394" t="s">
        <v>1094</v>
      </c>
      <c r="F172" s="394">
        <v>724</v>
      </c>
      <c r="G172" s="396">
        <v>6.8</v>
      </c>
      <c r="H172" s="396">
        <v>7.6</v>
      </c>
      <c r="I172" s="396">
        <v>8.6999999999999993</v>
      </c>
      <c r="J172" s="396">
        <v>8.1</v>
      </c>
      <c r="K172" s="396">
        <v>7.5</v>
      </c>
      <c r="L172" s="394" t="s">
        <v>1075</v>
      </c>
      <c r="M172" s="394"/>
      <c r="N172" s="389">
        <f>AVERAGE(H172,I172,K172)</f>
        <v>7.9333333333333327</v>
      </c>
      <c r="O172" s="397">
        <v>2995</v>
      </c>
      <c r="P172" s="398">
        <v>1961</v>
      </c>
      <c r="Q172" s="397">
        <v>1186</v>
      </c>
      <c r="R172" s="397">
        <v>2510</v>
      </c>
      <c r="S172" s="397">
        <v>1565</v>
      </c>
      <c r="T172" s="397">
        <v>1641</v>
      </c>
      <c r="U172" s="397">
        <v>305</v>
      </c>
      <c r="V172" s="397">
        <v>345</v>
      </c>
      <c r="W172" s="397">
        <v>355</v>
      </c>
      <c r="X172" s="397">
        <v>355</v>
      </c>
      <c r="Y172" s="399">
        <f>S172-('FMTC Main'!$E$22-U172)</f>
        <v>1870</v>
      </c>
      <c r="Z172" s="399">
        <f>T172-('FMTC Main'!$E$27-V172)</f>
        <v>1986</v>
      </c>
      <c r="AA172" s="400" t="str">
        <f>A172&amp;" "&amp;B172&amp;" "&amp;C172</f>
        <v>2003 Dodge Viper Competition Coupe</v>
      </c>
    </row>
    <row r="173" spans="1:27" ht="12.95" customHeight="1">
      <c r="A173" s="394">
        <v>1999</v>
      </c>
      <c r="B173" s="394" t="s">
        <v>128</v>
      </c>
      <c r="C173" s="394" t="s">
        <v>332</v>
      </c>
      <c r="D173" s="395">
        <v>44000</v>
      </c>
      <c r="E173" s="394" t="s">
        <v>349</v>
      </c>
      <c r="F173" s="394">
        <v>547</v>
      </c>
      <c r="G173" s="396">
        <v>7.7</v>
      </c>
      <c r="H173" s="396">
        <v>5.6</v>
      </c>
      <c r="I173" s="396">
        <v>7.8</v>
      </c>
      <c r="J173" s="396">
        <v>7.5</v>
      </c>
      <c r="K173" s="396">
        <v>5.5</v>
      </c>
      <c r="L173" s="394" t="s">
        <v>1075</v>
      </c>
      <c r="M173" s="394"/>
      <c r="N173" s="389">
        <f>AVERAGE(H173,I173,K173)</f>
        <v>6.3</v>
      </c>
      <c r="O173" s="397">
        <v>3450</v>
      </c>
      <c r="P173" s="398">
        <v>1466</v>
      </c>
      <c r="Q173" s="397">
        <v>1194</v>
      </c>
      <c r="R173" s="397">
        <v>2443</v>
      </c>
      <c r="S173" s="397">
        <v>1514</v>
      </c>
      <c r="T173" s="397">
        <v>1539</v>
      </c>
      <c r="U173" s="397">
        <v>275</v>
      </c>
      <c r="V173" s="397">
        <v>335</v>
      </c>
      <c r="W173" s="397">
        <v>330</v>
      </c>
      <c r="X173" s="397">
        <v>330</v>
      </c>
      <c r="Y173" s="399">
        <f>S173-('FMTC Main'!$E$22-U173)</f>
        <v>1789</v>
      </c>
      <c r="Z173" s="399">
        <f>T173-('FMTC Main'!$E$27-V173)</f>
        <v>1874</v>
      </c>
      <c r="AA173" s="400" t="str">
        <f>A173&amp;" "&amp;B173&amp;" "&amp;C173</f>
        <v>1999 Dodge Viper GTS ACR</v>
      </c>
    </row>
    <row r="174" spans="1:27" ht="12.95" customHeight="1">
      <c r="A174" s="394">
        <v>2003</v>
      </c>
      <c r="B174" s="394" t="s">
        <v>128</v>
      </c>
      <c r="C174" s="394" t="s">
        <v>847</v>
      </c>
      <c r="D174" s="395">
        <v>42000</v>
      </c>
      <c r="E174" s="394" t="s">
        <v>349</v>
      </c>
      <c r="F174" s="394">
        <v>580</v>
      </c>
      <c r="G174" s="396">
        <v>8.8000000000000007</v>
      </c>
      <c r="H174" s="396">
        <v>5.6</v>
      </c>
      <c r="I174" s="396">
        <v>8.1999999999999993</v>
      </c>
      <c r="J174" s="396">
        <v>7.6</v>
      </c>
      <c r="K174" s="396">
        <v>5.4</v>
      </c>
      <c r="L174" s="394" t="s">
        <v>1075</v>
      </c>
      <c r="M174" s="394"/>
      <c r="N174" s="389">
        <f>AVERAGE(H174,I174,K174)</f>
        <v>6.3999999999999995</v>
      </c>
      <c r="O174" s="397">
        <v>3390</v>
      </c>
      <c r="P174" s="398">
        <v>1911</v>
      </c>
      <c r="Q174" s="397">
        <v>1210</v>
      </c>
      <c r="R174" s="397">
        <v>2510</v>
      </c>
      <c r="S174" s="397">
        <v>1565</v>
      </c>
      <c r="T174" s="397">
        <v>1547</v>
      </c>
      <c r="U174" s="397">
        <v>275</v>
      </c>
      <c r="V174" s="397">
        <v>345</v>
      </c>
      <c r="W174" s="397">
        <v>355</v>
      </c>
      <c r="X174" s="397">
        <v>355</v>
      </c>
      <c r="Y174" s="399">
        <f>S174-('FMTC Main'!$E$22-U174)</f>
        <v>1840</v>
      </c>
      <c r="Z174" s="399">
        <f>T174-('FMTC Main'!$E$27-V174)</f>
        <v>1892</v>
      </c>
      <c r="AA174" s="400" t="str">
        <f>A174&amp;" "&amp;B174&amp;" "&amp;C174</f>
        <v>2003 Dodge Viper SRT-10</v>
      </c>
    </row>
    <row r="175" spans="1:27" ht="12.95" customHeight="1">
      <c r="A175" s="394">
        <v>2008</v>
      </c>
      <c r="B175" s="394" t="s">
        <v>128</v>
      </c>
      <c r="C175" s="394" t="s">
        <v>850</v>
      </c>
      <c r="D175" s="395">
        <v>100000</v>
      </c>
      <c r="E175" s="394" t="s">
        <v>1092</v>
      </c>
      <c r="F175" s="394">
        <v>653</v>
      </c>
      <c r="G175" s="396">
        <v>7.5</v>
      </c>
      <c r="H175" s="396">
        <v>6.9</v>
      </c>
      <c r="I175" s="396">
        <v>8.4</v>
      </c>
      <c r="J175" s="396">
        <v>7.4</v>
      </c>
      <c r="K175" s="396">
        <v>6.9</v>
      </c>
      <c r="L175" s="394" t="s">
        <v>1075</v>
      </c>
      <c r="M175" s="394"/>
      <c r="N175" s="389">
        <f>AVERAGE(H175,I175,K175)</f>
        <v>7.4000000000000012</v>
      </c>
      <c r="O175" s="397">
        <v>3408</v>
      </c>
      <c r="P175" s="398">
        <v>1910</v>
      </c>
      <c r="Q175" s="397">
        <v>1209</v>
      </c>
      <c r="R175" s="397">
        <v>2510</v>
      </c>
      <c r="S175" s="397">
        <v>1565</v>
      </c>
      <c r="T175" s="397">
        <v>1547</v>
      </c>
      <c r="U175" s="397">
        <v>295</v>
      </c>
      <c r="V175" s="397">
        <v>345</v>
      </c>
      <c r="W175" s="397">
        <v>355</v>
      </c>
      <c r="X175" s="397">
        <v>355</v>
      </c>
      <c r="Y175" s="399">
        <f>S175-('FMTC Main'!$E$22-U175)</f>
        <v>1860</v>
      </c>
      <c r="Z175" s="399">
        <f>T175-('FMTC Main'!$E$27-V175)</f>
        <v>1892</v>
      </c>
      <c r="AA175" s="400" t="str">
        <f>A175&amp;" "&amp;B175&amp;" "&amp;C175</f>
        <v>2008 Dodge Viper SRT-10 ACR</v>
      </c>
    </row>
    <row r="176" spans="1:27" ht="12.95" customHeight="1">
      <c r="A176" s="394">
        <v>1998</v>
      </c>
      <c r="B176" s="394" t="s">
        <v>852</v>
      </c>
      <c r="C176" s="394" t="s">
        <v>853</v>
      </c>
      <c r="D176" s="395">
        <v>6000</v>
      </c>
      <c r="E176" s="394" t="s">
        <v>1087</v>
      </c>
      <c r="F176" s="394">
        <v>392</v>
      </c>
      <c r="G176" s="396">
        <v>5.4</v>
      </c>
      <c r="H176" s="396">
        <v>4.8</v>
      </c>
      <c r="I176" s="396">
        <v>5.7</v>
      </c>
      <c r="J176" s="396">
        <v>6.4</v>
      </c>
      <c r="K176" s="396">
        <v>4.5999999999999996</v>
      </c>
      <c r="L176" s="394" t="s">
        <v>1075</v>
      </c>
      <c r="M176" s="394"/>
      <c r="N176" s="389">
        <f>AVERAGE(H176,I176,K176)</f>
        <v>5.0333333333333332</v>
      </c>
      <c r="O176" s="397">
        <v>3120</v>
      </c>
      <c r="P176" s="398">
        <v>1775</v>
      </c>
      <c r="Q176" s="397">
        <v>1265</v>
      </c>
      <c r="R176" s="397">
        <v>2510</v>
      </c>
      <c r="S176" s="397">
        <v>1516</v>
      </c>
      <c r="T176" s="397">
        <v>1509</v>
      </c>
      <c r="U176" s="397">
        <v>215</v>
      </c>
      <c r="V176" s="397">
        <v>215</v>
      </c>
      <c r="W176" s="397">
        <v>276</v>
      </c>
      <c r="X176" s="397">
        <v>262</v>
      </c>
      <c r="Y176" s="399">
        <f>S176-('FMTC Main'!$E$22-U176)</f>
        <v>1731</v>
      </c>
      <c r="Z176" s="399">
        <f>T176-('FMTC Main'!$E$27-V176)</f>
        <v>1724</v>
      </c>
      <c r="AA176" s="400" t="str">
        <f>A176&amp;" "&amp;B176&amp;" "&amp;C176</f>
        <v>1998 Eagle Talon TSi Turbo</v>
      </c>
    </row>
    <row r="177" spans="1:27" ht="12.95" customHeight="1">
      <c r="A177" s="394">
        <v>1998</v>
      </c>
      <c r="B177" s="394" t="s">
        <v>134</v>
      </c>
      <c r="C177" s="394" t="s">
        <v>308</v>
      </c>
      <c r="D177" s="395">
        <v>2200000</v>
      </c>
      <c r="E177" s="394" t="s">
        <v>1086</v>
      </c>
      <c r="F177" s="394">
        <v>978</v>
      </c>
      <c r="G177" s="396">
        <v>8.9</v>
      </c>
      <c r="H177" s="396">
        <v>9.8000000000000007</v>
      </c>
      <c r="I177" s="396">
        <v>9.9</v>
      </c>
      <c r="J177" s="396">
        <v>8.9</v>
      </c>
      <c r="K177" s="396">
        <v>9.8000000000000007</v>
      </c>
      <c r="L177" s="394" t="s">
        <v>1084</v>
      </c>
      <c r="M177" s="394"/>
      <c r="N177" s="389">
        <f>AVERAGE(H177,I177,K177)</f>
        <v>9.8333333333333339</v>
      </c>
      <c r="O177" s="397">
        <v>1960</v>
      </c>
      <c r="P177" s="398">
        <v>1994</v>
      </c>
      <c r="Q177" s="397">
        <v>1067</v>
      </c>
      <c r="R177" s="397">
        <v>2794</v>
      </c>
      <c r="S177" s="397">
        <v>1686</v>
      </c>
      <c r="T177" s="397">
        <v>1597</v>
      </c>
      <c r="U177" s="397">
        <v>290</v>
      </c>
      <c r="V177" s="397">
        <v>370</v>
      </c>
      <c r="W177" s="397">
        <v>355</v>
      </c>
      <c r="X177" s="397">
        <v>355</v>
      </c>
      <c r="Y177" s="399">
        <f>S177-('FMTC Main'!$E$22-U177)</f>
        <v>1976</v>
      </c>
      <c r="Z177" s="399">
        <f>T177-('FMTC Main'!$E$27-V177)</f>
        <v>1967</v>
      </c>
      <c r="AA177" s="400" t="str">
        <f>A177&amp;" "&amp;B177&amp;" "&amp;C177</f>
        <v>1998 Ferrari #12 Risi Competizione F333 SP</v>
      </c>
    </row>
    <row r="178" spans="1:27" ht="12.95" customHeight="1">
      <c r="A178" s="394">
        <v>2006</v>
      </c>
      <c r="B178" s="394" t="s">
        <v>134</v>
      </c>
      <c r="C178" s="394" t="s">
        <v>855</v>
      </c>
      <c r="D178" s="395">
        <v>1000000</v>
      </c>
      <c r="E178" s="394" t="s">
        <v>1094</v>
      </c>
      <c r="F178" s="394">
        <v>763</v>
      </c>
      <c r="G178" s="396">
        <v>6.9</v>
      </c>
      <c r="H178" s="396">
        <v>7.6</v>
      </c>
      <c r="I178" s="396">
        <v>9.1</v>
      </c>
      <c r="J178" s="396">
        <v>8.1999999999999993</v>
      </c>
      <c r="K178" s="396">
        <v>7.6</v>
      </c>
      <c r="L178" s="394" t="s">
        <v>1084</v>
      </c>
      <c r="M178" s="394"/>
      <c r="N178" s="389">
        <f>AVERAGE(H178,I178,K178)</f>
        <v>8.1</v>
      </c>
      <c r="O178" s="397">
        <v>2635</v>
      </c>
      <c r="P178" s="398">
        <v>1452</v>
      </c>
      <c r="Q178" s="397">
        <v>1175</v>
      </c>
      <c r="R178" s="397">
        <v>2600</v>
      </c>
      <c r="S178" s="397">
        <v>1738</v>
      </c>
      <c r="T178" s="397">
        <v>1652</v>
      </c>
      <c r="U178" s="397">
        <v>270</v>
      </c>
      <c r="V178" s="397">
        <v>280</v>
      </c>
      <c r="W178" s="397">
        <v>380</v>
      </c>
      <c r="X178" s="397">
        <v>332</v>
      </c>
      <c r="Y178" s="399">
        <f>S178-('FMTC Main'!$E$22-U178)</f>
        <v>2008</v>
      </c>
      <c r="Z178" s="399">
        <f>T178-('FMTC Main'!$E$27-V178)</f>
        <v>1932</v>
      </c>
      <c r="AA178" s="400" t="str">
        <f>A178&amp;" "&amp;B178&amp;" "&amp;C178</f>
        <v>2006 Ferrari #62 Risi Competizione F430 GT2</v>
      </c>
    </row>
    <row r="179" spans="1:27" ht="12.95" customHeight="1">
      <c r="A179" s="402">
        <v>2011</v>
      </c>
      <c r="B179" s="402" t="s">
        <v>134</v>
      </c>
      <c r="C179" s="402" t="s">
        <v>1130</v>
      </c>
      <c r="D179" s="403">
        <v>1000000</v>
      </c>
      <c r="E179" s="402" t="s">
        <v>1094</v>
      </c>
      <c r="F179" s="402">
        <v>763</v>
      </c>
      <c r="G179" s="404">
        <v>7</v>
      </c>
      <c r="H179" s="404">
        <v>7.8</v>
      </c>
      <c r="I179" s="404">
        <v>9.1</v>
      </c>
      <c r="J179" s="404">
        <v>8.6</v>
      </c>
      <c r="K179" s="404">
        <v>7.7</v>
      </c>
      <c r="L179" s="402" t="s">
        <v>1084</v>
      </c>
      <c r="M179" s="394"/>
      <c r="N179" s="389">
        <f>AVERAGE(H179,I179,K179)</f>
        <v>8.1999999999999993</v>
      </c>
      <c r="O179" s="405">
        <v>2775</v>
      </c>
      <c r="P179" s="405">
        <v>2036</v>
      </c>
      <c r="Q179" s="405">
        <v>1160</v>
      </c>
      <c r="R179" s="405">
        <v>2650</v>
      </c>
      <c r="S179" s="405">
        <v>1720</v>
      </c>
      <c r="T179" s="405">
        <v>1688</v>
      </c>
      <c r="U179" s="405">
        <v>300</v>
      </c>
      <c r="V179" s="405">
        <v>315</v>
      </c>
      <c r="W179" s="405">
        <v>380</v>
      </c>
      <c r="X179" s="405">
        <v>355</v>
      </c>
      <c r="Y179" s="406">
        <f>S179-('FMTC Main'!$E$22-U179)</f>
        <v>2020</v>
      </c>
      <c r="Z179" s="406">
        <f>T179-('FMTC Main'!$E$27-V179)</f>
        <v>2003</v>
      </c>
      <c r="AA179" s="407" t="str">
        <f>A179&amp;" "&amp;B179&amp;" "&amp;C179</f>
        <v>2011 Ferrari #62 Risi Competizione F458 Italia</v>
      </c>
    </row>
    <row r="180" spans="1:27" ht="12.95" customHeight="1">
      <c r="A180" s="394">
        <v>2010</v>
      </c>
      <c r="B180" s="394" t="s">
        <v>134</v>
      </c>
      <c r="C180" s="394" t="s">
        <v>857</v>
      </c>
      <c r="D180" s="395">
        <v>1000000</v>
      </c>
      <c r="E180" s="394" t="s">
        <v>1094</v>
      </c>
      <c r="F180" s="394">
        <v>763</v>
      </c>
      <c r="G180" s="396">
        <v>6.9</v>
      </c>
      <c r="H180" s="396">
        <v>7.6</v>
      </c>
      <c r="I180" s="396">
        <v>9.1</v>
      </c>
      <c r="J180" s="396">
        <v>8.1999999999999993</v>
      </c>
      <c r="K180" s="396">
        <v>7.6</v>
      </c>
      <c r="L180" s="394" t="s">
        <v>1084</v>
      </c>
      <c r="M180" s="394"/>
      <c r="N180" s="389">
        <f>AVERAGE(H180,I180,K180)</f>
        <v>8.1</v>
      </c>
      <c r="O180" s="397">
        <v>2635</v>
      </c>
      <c r="P180" s="398">
        <v>1452</v>
      </c>
      <c r="Q180" s="397">
        <v>1175</v>
      </c>
      <c r="R180" s="397">
        <v>2600</v>
      </c>
      <c r="S180" s="397">
        <v>1738</v>
      </c>
      <c r="T180" s="397">
        <v>1652</v>
      </c>
      <c r="U180" s="397">
        <v>270</v>
      </c>
      <c r="V180" s="397">
        <v>280</v>
      </c>
      <c r="W180" s="397">
        <v>380</v>
      </c>
      <c r="X180" s="397">
        <v>332</v>
      </c>
      <c r="Y180" s="399">
        <f>S180-('FMTC Main'!$E$22-U180)</f>
        <v>2008</v>
      </c>
      <c r="Z180" s="399">
        <f>T180-('FMTC Main'!$E$27-V180)</f>
        <v>1932</v>
      </c>
      <c r="AA180" s="400" t="str">
        <f>A180&amp;" "&amp;B180&amp;" "&amp;C180</f>
        <v>2010 Ferrari #83 Risi Competizione/Krohn F430 GT2</v>
      </c>
    </row>
    <row r="181" spans="1:27" ht="12.95" customHeight="1">
      <c r="A181" s="394">
        <v>2010</v>
      </c>
      <c r="B181" s="394" t="s">
        <v>134</v>
      </c>
      <c r="C181" s="394" t="s">
        <v>858</v>
      </c>
      <c r="D181" s="395">
        <v>1000000</v>
      </c>
      <c r="E181" s="394" t="s">
        <v>1094</v>
      </c>
      <c r="F181" s="394">
        <v>763</v>
      </c>
      <c r="G181" s="396">
        <v>6.9</v>
      </c>
      <c r="H181" s="396">
        <v>7.6</v>
      </c>
      <c r="I181" s="396">
        <v>9.1</v>
      </c>
      <c r="J181" s="396">
        <v>8.1999999999999993</v>
      </c>
      <c r="K181" s="396">
        <v>7.6</v>
      </c>
      <c r="L181" s="394" t="s">
        <v>1084</v>
      </c>
      <c r="M181" s="394"/>
      <c r="N181" s="389">
        <f>AVERAGE(H181,I181,K181)</f>
        <v>8.1</v>
      </c>
      <c r="O181" s="397">
        <v>2635</v>
      </c>
      <c r="P181" s="398">
        <v>1452</v>
      </c>
      <c r="Q181" s="397">
        <v>1175</v>
      </c>
      <c r="R181" s="397">
        <v>2600</v>
      </c>
      <c r="S181" s="397">
        <v>1738</v>
      </c>
      <c r="T181" s="397">
        <v>1652</v>
      </c>
      <c r="U181" s="397">
        <v>270</v>
      </c>
      <c r="V181" s="397">
        <v>280</v>
      </c>
      <c r="W181" s="397">
        <v>380</v>
      </c>
      <c r="X181" s="397">
        <v>332</v>
      </c>
      <c r="Y181" s="399">
        <f>S181-('FMTC Main'!$E$22-U181)</f>
        <v>2008</v>
      </c>
      <c r="Z181" s="399">
        <f>T181-('FMTC Main'!$E$27-V181)</f>
        <v>1932</v>
      </c>
      <c r="AA181" s="400" t="str">
        <f>A181&amp;" "&amp;B181&amp;" "&amp;C181</f>
        <v>2010 Ferrari #89 Hankook-Team Farnbacher F430 GT2</v>
      </c>
    </row>
    <row r="182" spans="1:27" ht="12.95" customHeight="1">
      <c r="A182" s="394">
        <v>2008</v>
      </c>
      <c r="B182" s="394" t="s">
        <v>134</v>
      </c>
      <c r="C182" s="394" t="s">
        <v>856</v>
      </c>
      <c r="D182" s="395">
        <v>1000000</v>
      </c>
      <c r="E182" s="394" t="s">
        <v>1094</v>
      </c>
      <c r="F182" s="394">
        <v>763</v>
      </c>
      <c r="G182" s="396">
        <v>6.9</v>
      </c>
      <c r="H182" s="396">
        <v>7.6</v>
      </c>
      <c r="I182" s="396">
        <v>9.1</v>
      </c>
      <c r="J182" s="396">
        <v>8.1999999999999993</v>
      </c>
      <c r="K182" s="396">
        <v>7.6</v>
      </c>
      <c r="L182" s="394" t="s">
        <v>1084</v>
      </c>
      <c r="M182" s="394"/>
      <c r="N182" s="389">
        <f>AVERAGE(H182,I182,K182)</f>
        <v>8.1</v>
      </c>
      <c r="O182" s="397">
        <v>2635</v>
      </c>
      <c r="P182" s="398">
        <v>1452</v>
      </c>
      <c r="Q182" s="397">
        <v>1175</v>
      </c>
      <c r="R182" s="397">
        <v>2600</v>
      </c>
      <c r="S182" s="397">
        <v>1738</v>
      </c>
      <c r="T182" s="397">
        <v>1652</v>
      </c>
      <c r="U182" s="397">
        <v>270</v>
      </c>
      <c r="V182" s="397">
        <v>280</v>
      </c>
      <c r="W182" s="397">
        <v>380</v>
      </c>
      <c r="X182" s="397">
        <v>332</v>
      </c>
      <c r="Y182" s="399">
        <f>S182-('FMTC Main'!$E$22-U182)</f>
        <v>2008</v>
      </c>
      <c r="Z182" s="399">
        <f>T182-('FMTC Main'!$E$27-V182)</f>
        <v>1932</v>
      </c>
      <c r="AA182" s="400" t="str">
        <f>A182&amp;" "&amp;B182&amp;" "&amp;C182</f>
        <v>2008 Ferrari #90 Farnbacher Racing F430 GT2</v>
      </c>
    </row>
    <row r="183" spans="1:27" ht="12.95" customHeight="1">
      <c r="A183" s="394">
        <v>1957</v>
      </c>
      <c r="B183" s="394" t="s">
        <v>134</v>
      </c>
      <c r="C183" s="394" t="s">
        <v>691</v>
      </c>
      <c r="D183" s="395">
        <v>3000000</v>
      </c>
      <c r="E183" s="394" t="s">
        <v>1085</v>
      </c>
      <c r="F183" s="394">
        <v>302</v>
      </c>
      <c r="G183" s="396">
        <v>4.9000000000000004</v>
      </c>
      <c r="H183" s="396">
        <v>3.9</v>
      </c>
      <c r="I183" s="396">
        <v>6.6</v>
      </c>
      <c r="J183" s="396">
        <v>5.3</v>
      </c>
      <c r="K183" s="396">
        <v>3.9</v>
      </c>
      <c r="L183" s="394" t="s">
        <v>1084</v>
      </c>
      <c r="M183" s="394"/>
      <c r="N183" s="389">
        <f>AVERAGE(H183,I183,K183)</f>
        <v>4.8</v>
      </c>
      <c r="O183" s="397">
        <v>2315</v>
      </c>
      <c r="P183" s="398">
        <v>1650</v>
      </c>
      <c r="Q183" s="397">
        <v>1400</v>
      </c>
      <c r="R183" s="397">
        <v>2600</v>
      </c>
      <c r="S183" s="397">
        <v>1354</v>
      </c>
      <c r="T183" s="397">
        <v>1349</v>
      </c>
      <c r="U183" s="397">
        <v>185</v>
      </c>
      <c r="V183" s="397">
        <v>185</v>
      </c>
      <c r="W183" s="397">
        <v>281</v>
      </c>
      <c r="X183" s="397">
        <v>281</v>
      </c>
      <c r="Y183" s="399">
        <f>S183-('FMTC Main'!$E$22-U183)</f>
        <v>1539</v>
      </c>
      <c r="Z183" s="399">
        <f>T183-('FMTC Main'!$E$27-V183)</f>
        <v>1534</v>
      </c>
      <c r="AA183" s="400" t="str">
        <f>A183&amp;" "&amp;B183&amp;" "&amp;C183</f>
        <v>1957 Ferrari 250 California</v>
      </c>
    </row>
    <row r="184" spans="1:27" ht="12.95" customHeight="1">
      <c r="A184" s="394">
        <v>1964</v>
      </c>
      <c r="B184" s="394" t="s">
        <v>134</v>
      </c>
      <c r="C184" s="394" t="s">
        <v>135</v>
      </c>
      <c r="D184" s="395">
        <v>10000000</v>
      </c>
      <c r="E184" s="394" t="s">
        <v>1088</v>
      </c>
      <c r="F184" s="394">
        <v>440</v>
      </c>
      <c r="G184" s="396">
        <v>6.6</v>
      </c>
      <c r="H184" s="396">
        <v>4.8</v>
      </c>
      <c r="I184" s="396">
        <v>7</v>
      </c>
      <c r="J184" s="396">
        <v>5.3</v>
      </c>
      <c r="K184" s="396">
        <v>4.5</v>
      </c>
      <c r="L184" s="394" t="s">
        <v>1084</v>
      </c>
      <c r="M184" s="394"/>
      <c r="N184" s="389">
        <f>AVERAGE(H184,I184,K184)</f>
        <v>5.4333333333333336</v>
      </c>
      <c r="O184" s="397">
        <v>2479</v>
      </c>
      <c r="P184" s="398">
        <v>1750</v>
      </c>
      <c r="Q184" s="397">
        <v>1138</v>
      </c>
      <c r="R184" s="397">
        <v>2400</v>
      </c>
      <c r="S184" s="397">
        <v>1445</v>
      </c>
      <c r="T184" s="397">
        <v>1441</v>
      </c>
      <c r="U184" s="397">
        <v>195</v>
      </c>
      <c r="V184" s="397">
        <v>275</v>
      </c>
      <c r="W184" s="397">
        <v>281</v>
      </c>
      <c r="X184" s="397">
        <v>281</v>
      </c>
      <c r="Y184" s="399">
        <f>S184-('FMTC Main'!$E$22-U184)</f>
        <v>1640</v>
      </c>
      <c r="Z184" s="399">
        <f>T184-('FMTC Main'!$E$27-V184)</f>
        <v>1716</v>
      </c>
      <c r="AA184" s="400" t="str">
        <f>A184&amp;" "&amp;B184&amp;" "&amp;C184</f>
        <v>1964 Ferrari 250 GTO</v>
      </c>
    </row>
    <row r="185" spans="1:27" ht="12.95" customHeight="1">
      <c r="A185" s="394">
        <v>1957</v>
      </c>
      <c r="B185" s="394" t="s">
        <v>134</v>
      </c>
      <c r="C185" s="394" t="s">
        <v>345</v>
      </c>
      <c r="D185" s="395">
        <v>8000000</v>
      </c>
      <c r="E185" s="394" t="s">
        <v>1087</v>
      </c>
      <c r="F185" s="394">
        <v>361</v>
      </c>
      <c r="G185" s="396">
        <v>5.7</v>
      </c>
      <c r="H185" s="396">
        <v>3.5</v>
      </c>
      <c r="I185" s="396">
        <v>7.3</v>
      </c>
      <c r="J185" s="396">
        <v>6.4</v>
      </c>
      <c r="K185" s="396">
        <v>3.5</v>
      </c>
      <c r="L185" s="394" t="s">
        <v>1084</v>
      </c>
      <c r="M185" s="394"/>
      <c r="N185" s="389">
        <f>AVERAGE(H185,I185,K185)</f>
        <v>4.7666666666666666</v>
      </c>
      <c r="O185" s="397">
        <v>2028</v>
      </c>
      <c r="P185" s="398">
        <v>1523</v>
      </c>
      <c r="Q185" s="397">
        <v>964</v>
      </c>
      <c r="R185" s="397">
        <v>2250</v>
      </c>
      <c r="S185" s="397">
        <v>1307</v>
      </c>
      <c r="T185" s="397">
        <v>1294</v>
      </c>
      <c r="U185" s="397">
        <v>185</v>
      </c>
      <c r="V185" s="397">
        <v>195</v>
      </c>
      <c r="W185" s="397">
        <v>281</v>
      </c>
      <c r="X185" s="397">
        <v>281</v>
      </c>
      <c r="Y185" s="399">
        <f>S185-('FMTC Main'!$E$22-U185)</f>
        <v>1492</v>
      </c>
      <c r="Z185" s="399">
        <f>T185-('FMTC Main'!$E$27-V185)</f>
        <v>1489</v>
      </c>
      <c r="AA185" s="400" t="str">
        <f>A185&amp;" "&amp;B185&amp;" "&amp;C185</f>
        <v>1957 Ferrari 250 Testa Rossa</v>
      </c>
    </row>
    <row r="186" spans="1:27" ht="12.95" customHeight="1">
      <c r="A186" s="394">
        <v>1967</v>
      </c>
      <c r="B186" s="394" t="s">
        <v>134</v>
      </c>
      <c r="C186" s="394" t="s">
        <v>136</v>
      </c>
      <c r="D186" s="395">
        <v>9000000</v>
      </c>
      <c r="E186" s="394" t="s">
        <v>349</v>
      </c>
      <c r="F186" s="394">
        <v>570</v>
      </c>
      <c r="G186" s="396">
        <v>7.9</v>
      </c>
      <c r="H186" s="396">
        <v>4.9000000000000004</v>
      </c>
      <c r="I186" s="396">
        <v>8.8000000000000007</v>
      </c>
      <c r="J186" s="396">
        <v>8.1</v>
      </c>
      <c r="K186" s="396">
        <v>4.8</v>
      </c>
      <c r="L186" s="394" t="s">
        <v>1084</v>
      </c>
      <c r="M186" s="394"/>
      <c r="N186" s="389">
        <f>AVERAGE(H186,I186,K186)</f>
        <v>6.166666666666667</v>
      </c>
      <c r="O186" s="397">
        <v>1967</v>
      </c>
      <c r="P186" s="398">
        <v>1810</v>
      </c>
      <c r="Q186" s="397">
        <v>1000</v>
      </c>
      <c r="R186" s="397">
        <v>2400</v>
      </c>
      <c r="S186" s="397">
        <v>1488</v>
      </c>
      <c r="T186" s="397">
        <v>1450</v>
      </c>
      <c r="U186" s="397">
        <v>245</v>
      </c>
      <c r="V186" s="397">
        <v>305</v>
      </c>
      <c r="W186" s="397">
        <v>281</v>
      </c>
      <c r="X186" s="397">
        <v>281</v>
      </c>
      <c r="Y186" s="399">
        <f>S186-('FMTC Main'!$E$22-U186)</f>
        <v>1733</v>
      </c>
      <c r="Z186" s="399">
        <f>T186-('FMTC Main'!$E$27-V186)</f>
        <v>1755</v>
      </c>
      <c r="AA186" s="400" t="str">
        <f>A186&amp;" "&amp;B186&amp;" "&amp;C186</f>
        <v>1967 Ferrari 330 P4</v>
      </c>
    </row>
    <row r="187" spans="1:27" ht="12.95" customHeight="1">
      <c r="A187" s="394">
        <v>1999</v>
      </c>
      <c r="B187" s="394" t="s">
        <v>134</v>
      </c>
      <c r="C187" s="394" t="s">
        <v>139</v>
      </c>
      <c r="D187" s="395">
        <v>90000</v>
      </c>
      <c r="E187" s="394" t="s">
        <v>349</v>
      </c>
      <c r="F187" s="394">
        <v>550</v>
      </c>
      <c r="G187" s="396">
        <v>7.3</v>
      </c>
      <c r="H187" s="396">
        <v>5.6</v>
      </c>
      <c r="I187" s="396">
        <v>7.7</v>
      </c>
      <c r="J187" s="396">
        <v>8.1</v>
      </c>
      <c r="K187" s="396">
        <v>5.5</v>
      </c>
      <c r="L187" s="394" t="s">
        <v>1084</v>
      </c>
      <c r="M187" s="394"/>
      <c r="N187" s="389">
        <f>AVERAGE(H187,I187,K187)</f>
        <v>6.2666666666666666</v>
      </c>
      <c r="O187" s="397">
        <v>3086</v>
      </c>
      <c r="P187" s="398">
        <v>1923</v>
      </c>
      <c r="Q187" s="397">
        <v>1214</v>
      </c>
      <c r="R187" s="397">
        <v>2600</v>
      </c>
      <c r="S187" s="397">
        <v>1669</v>
      </c>
      <c r="T187" s="397">
        <v>1618</v>
      </c>
      <c r="U187" s="397">
        <v>215</v>
      </c>
      <c r="V187" s="397">
        <v>275</v>
      </c>
      <c r="W187" s="397">
        <v>330</v>
      </c>
      <c r="X187" s="397">
        <v>330</v>
      </c>
      <c r="Y187" s="399">
        <f>S187-('FMTC Main'!$E$22-U187)</f>
        <v>1884</v>
      </c>
      <c r="Z187" s="399">
        <f>T187-('FMTC Main'!$E$27-V187)</f>
        <v>1893</v>
      </c>
      <c r="AA187" s="400" t="str">
        <f>A187&amp;" "&amp;B187&amp;" "&amp;C187</f>
        <v>1999 Ferrari 360 Modena</v>
      </c>
    </row>
    <row r="188" spans="1:27" ht="12.95" customHeight="1">
      <c r="A188" s="394">
        <v>1968</v>
      </c>
      <c r="B188" s="394" t="s">
        <v>134</v>
      </c>
      <c r="C188" s="394" t="s">
        <v>854</v>
      </c>
      <c r="D188" s="395">
        <v>270000</v>
      </c>
      <c r="E188" s="394" t="s">
        <v>1087</v>
      </c>
      <c r="F188" s="394">
        <v>415</v>
      </c>
      <c r="G188" s="396">
        <v>6.7</v>
      </c>
      <c r="H188" s="396">
        <v>4.2</v>
      </c>
      <c r="I188" s="396">
        <v>7.3</v>
      </c>
      <c r="J188" s="396">
        <v>6.6</v>
      </c>
      <c r="K188" s="396">
        <v>4.2</v>
      </c>
      <c r="L188" s="394" t="s">
        <v>1084</v>
      </c>
      <c r="M188" s="394"/>
      <c r="N188" s="389">
        <f>AVERAGE(H188,I188,K188)</f>
        <v>5.2333333333333334</v>
      </c>
      <c r="O188" s="397">
        <v>3600</v>
      </c>
      <c r="P188" s="398">
        <v>1720</v>
      </c>
      <c r="Q188" s="397">
        <v>1524</v>
      </c>
      <c r="R188" s="397">
        <v>2400</v>
      </c>
      <c r="S188" s="397">
        <v>1401</v>
      </c>
      <c r="T188" s="397">
        <v>1417</v>
      </c>
      <c r="U188" s="397">
        <v>215</v>
      </c>
      <c r="V188" s="397">
        <v>215</v>
      </c>
      <c r="W188" s="397">
        <v>279</v>
      </c>
      <c r="X188" s="397">
        <v>274</v>
      </c>
      <c r="Y188" s="399">
        <f>S188-('FMTC Main'!$E$22-U188)</f>
        <v>1616</v>
      </c>
      <c r="Z188" s="399">
        <f>T188-('FMTC Main'!$E$27-V188)</f>
        <v>1632</v>
      </c>
      <c r="AA188" s="400" t="str">
        <f>A188&amp;" "&amp;B188&amp;" "&amp;C188</f>
        <v>1968 Ferrari 365 GTB/4 Daytona</v>
      </c>
    </row>
    <row r="189" spans="1:27" ht="12.95" customHeight="1">
      <c r="A189" s="394">
        <v>2007</v>
      </c>
      <c r="B189" s="394" t="s">
        <v>134</v>
      </c>
      <c r="C189" s="394" t="s">
        <v>340</v>
      </c>
      <c r="D189" s="395">
        <v>270000</v>
      </c>
      <c r="E189" s="394" t="s">
        <v>1092</v>
      </c>
      <c r="F189" s="394">
        <v>648</v>
      </c>
      <c r="G189" s="396">
        <v>9.1</v>
      </c>
      <c r="H189" s="396">
        <v>5.9</v>
      </c>
      <c r="I189" s="396">
        <v>8.6</v>
      </c>
      <c r="J189" s="396">
        <v>8.1999999999999993</v>
      </c>
      <c r="K189" s="396">
        <v>5.8</v>
      </c>
      <c r="L189" s="394" t="s">
        <v>1084</v>
      </c>
      <c r="M189" s="394" t="s">
        <v>1096</v>
      </c>
      <c r="N189" s="389">
        <f>AVERAGE(H189,I189,K189)</f>
        <v>6.7666666666666666</v>
      </c>
      <c r="O189" s="397">
        <v>2975</v>
      </c>
      <c r="P189" s="398">
        <v>1923</v>
      </c>
      <c r="Q189" s="397">
        <v>1199</v>
      </c>
      <c r="R189" s="397">
        <v>2600</v>
      </c>
      <c r="S189" s="397">
        <v>1669</v>
      </c>
      <c r="T189" s="397">
        <v>1616</v>
      </c>
      <c r="U189" s="397">
        <v>235</v>
      </c>
      <c r="V189" s="397">
        <v>285</v>
      </c>
      <c r="W189" s="397">
        <v>398</v>
      </c>
      <c r="X189" s="397">
        <v>350</v>
      </c>
      <c r="Y189" s="399">
        <f>S189-('FMTC Main'!$E$22-U189)</f>
        <v>1904</v>
      </c>
      <c r="Z189" s="399">
        <f>T189-('FMTC Main'!$E$27-V189)</f>
        <v>1901</v>
      </c>
      <c r="AA189" s="400" t="str">
        <f>A189&amp;" "&amp;B189&amp;" "&amp;C189</f>
        <v>2007 Ferrari 430 Scuderia</v>
      </c>
    </row>
    <row r="190" spans="1:27" ht="12.95" customHeight="1">
      <c r="A190" s="394">
        <v>2011</v>
      </c>
      <c r="B190" s="394" t="s">
        <v>134</v>
      </c>
      <c r="C190" s="394" t="s">
        <v>859</v>
      </c>
      <c r="D190" s="395">
        <v>357000</v>
      </c>
      <c r="E190" s="394" t="s">
        <v>1094</v>
      </c>
      <c r="F190" s="394">
        <v>730</v>
      </c>
      <c r="G190" s="396">
        <v>7.9</v>
      </c>
      <c r="H190" s="396">
        <v>6.9</v>
      </c>
      <c r="I190" s="396">
        <v>9</v>
      </c>
      <c r="J190" s="396">
        <v>8.6999999999999993</v>
      </c>
      <c r="K190" s="396">
        <v>6.9</v>
      </c>
      <c r="L190" s="394" t="s">
        <v>1084</v>
      </c>
      <c r="M190" s="394" t="s">
        <v>1108</v>
      </c>
      <c r="N190" s="389">
        <f>AVERAGE(H190,I190,K190)</f>
        <v>7.6000000000000005</v>
      </c>
      <c r="O190" s="397">
        <v>2874</v>
      </c>
      <c r="P190" s="398">
        <v>1937</v>
      </c>
      <c r="Q190" s="397">
        <v>1213</v>
      </c>
      <c r="R190" s="397">
        <v>2650</v>
      </c>
      <c r="S190" s="397">
        <v>1672</v>
      </c>
      <c r="T190" s="397">
        <v>1606</v>
      </c>
      <c r="U190" s="397">
        <v>255</v>
      </c>
      <c r="V190" s="397">
        <v>305</v>
      </c>
      <c r="W190" s="397">
        <v>380</v>
      </c>
      <c r="X190" s="397">
        <v>380</v>
      </c>
      <c r="Y190" s="399">
        <f>S190-('FMTC Main'!$E$22-U190)</f>
        <v>1927</v>
      </c>
      <c r="Z190" s="399">
        <f>T190-('FMTC Main'!$E$27-V190)</f>
        <v>1911</v>
      </c>
      <c r="AA190" s="400" t="str">
        <f>A190&amp;" "&amp;B190&amp;" "&amp;C190</f>
        <v>2011 Ferrari 458 Challenge</v>
      </c>
    </row>
    <row r="191" spans="1:27" ht="12.95" customHeight="1">
      <c r="A191" s="394">
        <v>2010</v>
      </c>
      <c r="B191" s="394" t="s">
        <v>134</v>
      </c>
      <c r="C191" s="394" t="s">
        <v>545</v>
      </c>
      <c r="D191" s="395">
        <v>240000</v>
      </c>
      <c r="E191" s="394" t="s">
        <v>1092</v>
      </c>
      <c r="F191" s="394">
        <v>645</v>
      </c>
      <c r="G191" s="396">
        <v>9.6999999999999993</v>
      </c>
      <c r="H191" s="396">
        <v>6.1</v>
      </c>
      <c r="I191" s="396">
        <v>8.6</v>
      </c>
      <c r="J191" s="396">
        <v>8.3000000000000007</v>
      </c>
      <c r="K191" s="396">
        <v>6</v>
      </c>
      <c r="L191" s="394" t="s">
        <v>1084</v>
      </c>
      <c r="M191" s="394"/>
      <c r="N191" s="389">
        <f>AVERAGE(H191,I191,K191)</f>
        <v>6.8999999999999995</v>
      </c>
      <c r="O191" s="397">
        <v>3274</v>
      </c>
      <c r="P191" s="398">
        <v>1937</v>
      </c>
      <c r="Q191" s="397">
        <v>1213</v>
      </c>
      <c r="R191" s="397">
        <v>2650</v>
      </c>
      <c r="S191" s="397">
        <v>1672</v>
      </c>
      <c r="T191" s="397">
        <v>1606</v>
      </c>
      <c r="U191" s="397">
        <v>235</v>
      </c>
      <c r="V191" s="397">
        <v>295</v>
      </c>
      <c r="W191" s="397">
        <v>398</v>
      </c>
      <c r="X191" s="397">
        <v>360</v>
      </c>
      <c r="Y191" s="399">
        <f>S191-('FMTC Main'!$E$22-U191)</f>
        <v>1907</v>
      </c>
      <c r="Z191" s="399">
        <f>T191-('FMTC Main'!$E$27-V191)</f>
        <v>1901</v>
      </c>
      <c r="AA191" s="400" t="str">
        <f>A191&amp;" "&amp;B191&amp;" "&amp;C191</f>
        <v>2010 Ferrari 458 Italia</v>
      </c>
    </row>
    <row r="192" spans="1:27" ht="12.95" customHeight="1">
      <c r="A192" s="394">
        <v>1991</v>
      </c>
      <c r="B192" s="394" t="s">
        <v>134</v>
      </c>
      <c r="C192" s="394" t="s">
        <v>140</v>
      </c>
      <c r="D192" s="395">
        <v>75000</v>
      </c>
      <c r="E192" s="394" t="s">
        <v>1088</v>
      </c>
      <c r="F192" s="394">
        <v>499</v>
      </c>
      <c r="G192" s="396">
        <v>7.5</v>
      </c>
      <c r="H192" s="396">
        <v>5.3</v>
      </c>
      <c r="I192" s="396">
        <v>7.1</v>
      </c>
      <c r="J192" s="396">
        <v>6.2</v>
      </c>
      <c r="K192" s="396">
        <v>5.0999999999999996</v>
      </c>
      <c r="L192" s="394" t="s">
        <v>1084</v>
      </c>
      <c r="M192" s="394"/>
      <c r="N192" s="389">
        <f>AVERAGE(H192,I192,K192)</f>
        <v>5.833333333333333</v>
      </c>
      <c r="O192" s="397">
        <v>3690</v>
      </c>
      <c r="P192" s="398">
        <v>1976</v>
      </c>
      <c r="Q192" s="397">
        <v>1135</v>
      </c>
      <c r="R192" s="397">
        <v>2550</v>
      </c>
      <c r="S192" s="397">
        <v>1532</v>
      </c>
      <c r="T192" s="397">
        <v>1644</v>
      </c>
      <c r="U192" s="397">
        <v>235</v>
      </c>
      <c r="V192" s="397">
        <v>295</v>
      </c>
      <c r="W192" s="397">
        <v>304</v>
      </c>
      <c r="X192" s="397">
        <v>304</v>
      </c>
      <c r="Y192" s="399">
        <f>S192-('FMTC Main'!$E$22-U192)</f>
        <v>1767</v>
      </c>
      <c r="Z192" s="399">
        <f>T192-('FMTC Main'!$E$27-V192)</f>
        <v>1939</v>
      </c>
      <c r="AA192" s="400" t="str">
        <f>A192&amp;" "&amp;B192&amp;" "&amp;C192</f>
        <v>1991 Ferrari 512 TR</v>
      </c>
    </row>
    <row r="193" spans="1:27" ht="12.95" customHeight="1">
      <c r="A193" s="394">
        <v>2002</v>
      </c>
      <c r="B193" s="394" t="s">
        <v>134</v>
      </c>
      <c r="C193" s="394" t="s">
        <v>141</v>
      </c>
      <c r="D193" s="395">
        <v>120000</v>
      </c>
      <c r="E193" s="394" t="s">
        <v>349</v>
      </c>
      <c r="F193" s="394">
        <v>532</v>
      </c>
      <c r="G193" s="396">
        <v>8.1</v>
      </c>
      <c r="H193" s="396">
        <v>5.0999999999999996</v>
      </c>
      <c r="I193" s="396">
        <v>7.8</v>
      </c>
      <c r="J193" s="396">
        <v>7.5</v>
      </c>
      <c r="K193" s="396">
        <v>5</v>
      </c>
      <c r="L193" s="394" t="s">
        <v>1084</v>
      </c>
      <c r="M193" s="394"/>
      <c r="N193" s="389">
        <f>AVERAGE(H193,I193,K193)</f>
        <v>5.9666666666666659</v>
      </c>
      <c r="O193" s="397">
        <v>3815</v>
      </c>
      <c r="P193" s="398">
        <v>1935</v>
      </c>
      <c r="Q193" s="397">
        <v>1277</v>
      </c>
      <c r="R193" s="397">
        <v>2500</v>
      </c>
      <c r="S193" s="397">
        <v>1632</v>
      </c>
      <c r="T193" s="397">
        <v>1586</v>
      </c>
      <c r="U193" s="397">
        <v>255</v>
      </c>
      <c r="V193" s="397">
        <v>295</v>
      </c>
      <c r="W193" s="397">
        <v>380</v>
      </c>
      <c r="X193" s="397">
        <v>380</v>
      </c>
      <c r="Y193" s="399">
        <f>S193-('FMTC Main'!$E$22-U193)</f>
        <v>1887</v>
      </c>
      <c r="Z193" s="399">
        <f>T193-('FMTC Main'!$E$27-V193)</f>
        <v>1881</v>
      </c>
      <c r="AA193" s="400" t="str">
        <f>A193&amp;" "&amp;B193&amp;" "&amp;C193</f>
        <v>2002 Ferrari 575M Maranello</v>
      </c>
    </row>
    <row r="194" spans="1:27" ht="12.95" customHeight="1">
      <c r="A194" s="394">
        <v>2006</v>
      </c>
      <c r="B194" s="394" t="s">
        <v>134</v>
      </c>
      <c r="C194" s="394" t="s">
        <v>142</v>
      </c>
      <c r="D194" s="395">
        <v>310000</v>
      </c>
      <c r="E194" s="394" t="s">
        <v>1092</v>
      </c>
      <c r="F194" s="394">
        <v>630</v>
      </c>
      <c r="G194" s="396">
        <v>9.5</v>
      </c>
      <c r="H194" s="396">
        <v>5.7</v>
      </c>
      <c r="I194" s="396">
        <v>8.6</v>
      </c>
      <c r="J194" s="396">
        <v>7.9</v>
      </c>
      <c r="K194" s="396">
        <v>5.7</v>
      </c>
      <c r="L194" s="394" t="s">
        <v>1084</v>
      </c>
      <c r="M194" s="394"/>
      <c r="N194" s="389">
        <f>AVERAGE(H194,I194,K194)</f>
        <v>6.666666666666667</v>
      </c>
      <c r="O194" s="397">
        <v>3865</v>
      </c>
      <c r="P194" s="398">
        <v>1961</v>
      </c>
      <c r="Q194" s="397">
        <v>1336</v>
      </c>
      <c r="R194" s="397">
        <v>2751</v>
      </c>
      <c r="S194" s="397">
        <v>1689</v>
      </c>
      <c r="T194" s="397">
        <v>1618</v>
      </c>
      <c r="U194" s="397">
        <v>245</v>
      </c>
      <c r="V194" s="397">
        <v>305</v>
      </c>
      <c r="W194" s="397">
        <v>398</v>
      </c>
      <c r="X194" s="397">
        <v>360</v>
      </c>
      <c r="Y194" s="399">
        <f>S194-('FMTC Main'!$E$22-U194)</f>
        <v>1934</v>
      </c>
      <c r="Z194" s="399">
        <f>T194-('FMTC Main'!$E$27-V194)</f>
        <v>1923</v>
      </c>
      <c r="AA194" s="400" t="str">
        <f>A194&amp;" "&amp;B194&amp;" "&amp;C194</f>
        <v>2006 Ferrari 599 GTB Fiorano</v>
      </c>
    </row>
    <row r="195" spans="1:27" ht="12.95" customHeight="1">
      <c r="A195" s="394">
        <v>2011</v>
      </c>
      <c r="B195" s="394" t="s">
        <v>134</v>
      </c>
      <c r="C195" s="394" t="s">
        <v>860</v>
      </c>
      <c r="D195" s="395">
        <v>370000</v>
      </c>
      <c r="E195" s="394" t="s">
        <v>1092</v>
      </c>
      <c r="F195" s="394">
        <v>677</v>
      </c>
      <c r="G195" s="396">
        <v>8.9</v>
      </c>
      <c r="H195" s="396">
        <v>6.1</v>
      </c>
      <c r="I195" s="396">
        <v>8.9</v>
      </c>
      <c r="J195" s="396">
        <v>8</v>
      </c>
      <c r="K195" s="396">
        <v>6.2</v>
      </c>
      <c r="L195" s="394" t="s">
        <v>1084</v>
      </c>
      <c r="M195" s="394"/>
      <c r="N195" s="389">
        <f>AVERAGE(H195,I195,K195)</f>
        <v>7.0666666666666664</v>
      </c>
      <c r="O195" s="397">
        <v>3538</v>
      </c>
      <c r="P195" s="398">
        <v>1962</v>
      </c>
      <c r="Q195" s="397">
        <v>1326</v>
      </c>
      <c r="R195" s="397">
        <v>2750</v>
      </c>
      <c r="S195" s="397">
        <v>1701</v>
      </c>
      <c r="T195" s="397">
        <v>1618</v>
      </c>
      <c r="U195" s="397">
        <v>285</v>
      </c>
      <c r="V195" s="397">
        <v>315</v>
      </c>
      <c r="W195" s="397">
        <v>398</v>
      </c>
      <c r="X195" s="397">
        <v>360</v>
      </c>
      <c r="Y195" s="399">
        <f>S195-('FMTC Main'!$E$22-U195)</f>
        <v>1986</v>
      </c>
      <c r="Z195" s="399">
        <f>T195-('FMTC Main'!$E$27-V195)</f>
        <v>1933</v>
      </c>
      <c r="AA195" s="400" t="str">
        <f>A195&amp;" "&amp;B195&amp;" "&amp;C195</f>
        <v>2011 Ferrari 599 GTO</v>
      </c>
    </row>
    <row r="196" spans="1:27" ht="12.95" customHeight="1">
      <c r="A196" s="394">
        <v>2010</v>
      </c>
      <c r="B196" s="394" t="s">
        <v>134</v>
      </c>
      <c r="C196" s="394" t="s">
        <v>564</v>
      </c>
      <c r="D196" s="395">
        <v>1500000</v>
      </c>
      <c r="E196" s="394" t="s">
        <v>1094</v>
      </c>
      <c r="F196" s="394">
        <v>773</v>
      </c>
      <c r="G196" s="396">
        <v>8.8000000000000007</v>
      </c>
      <c r="H196" s="396">
        <v>7.3</v>
      </c>
      <c r="I196" s="396">
        <v>9.1</v>
      </c>
      <c r="J196" s="396">
        <v>8.1</v>
      </c>
      <c r="K196" s="396">
        <v>7.3</v>
      </c>
      <c r="L196" s="394" t="s">
        <v>1084</v>
      </c>
      <c r="M196" s="394"/>
      <c r="N196" s="389">
        <f>AVERAGE(H196,I196,K196)</f>
        <v>7.8999999999999995</v>
      </c>
      <c r="O196" s="397">
        <v>3238</v>
      </c>
      <c r="P196" s="398">
        <v>1972</v>
      </c>
      <c r="Q196" s="397">
        <v>1283</v>
      </c>
      <c r="R196" s="397">
        <v>2750</v>
      </c>
      <c r="S196" s="397">
        <v>1689</v>
      </c>
      <c r="T196" s="397">
        <v>1618</v>
      </c>
      <c r="U196" s="397">
        <v>290</v>
      </c>
      <c r="V196" s="397">
        <v>310</v>
      </c>
      <c r="W196" s="397">
        <v>380</v>
      </c>
      <c r="X196" s="397">
        <v>380</v>
      </c>
      <c r="Y196" s="399">
        <f>S196-('FMTC Main'!$E$22-U196)</f>
        <v>1979</v>
      </c>
      <c r="Z196" s="399">
        <f>T196-('FMTC Main'!$E$27-V196)</f>
        <v>1928</v>
      </c>
      <c r="AA196" s="400" t="str">
        <f>A196&amp;" "&amp;B196&amp;" "&amp;C196</f>
        <v>2010 Ferrari 599XX</v>
      </c>
    </row>
    <row r="197" spans="1:27" ht="12.95" customHeight="1">
      <c r="A197" s="394">
        <v>2004</v>
      </c>
      <c r="B197" s="394" t="s">
        <v>134</v>
      </c>
      <c r="C197" s="394" t="s">
        <v>143</v>
      </c>
      <c r="D197" s="395">
        <v>130000</v>
      </c>
      <c r="E197" s="394" t="s">
        <v>349</v>
      </c>
      <c r="F197" s="394">
        <v>538</v>
      </c>
      <c r="G197" s="396">
        <v>8.5</v>
      </c>
      <c r="H197" s="396">
        <v>5.0999999999999996</v>
      </c>
      <c r="I197" s="396">
        <v>7.7</v>
      </c>
      <c r="J197" s="396">
        <v>7.7</v>
      </c>
      <c r="K197" s="396">
        <v>5.0999999999999996</v>
      </c>
      <c r="L197" s="394" t="s">
        <v>1084</v>
      </c>
      <c r="M197" s="394"/>
      <c r="N197" s="389">
        <f>AVERAGE(H197,I197,K197)</f>
        <v>5.9666666666666659</v>
      </c>
      <c r="O197" s="397">
        <v>4112</v>
      </c>
      <c r="P197" s="398">
        <v>1957</v>
      </c>
      <c r="Q197" s="397">
        <v>1344</v>
      </c>
      <c r="R197" s="397">
        <v>2950</v>
      </c>
      <c r="S197" s="397">
        <v>1688</v>
      </c>
      <c r="T197" s="397">
        <v>1641</v>
      </c>
      <c r="U197" s="397">
        <v>245</v>
      </c>
      <c r="V197" s="397">
        <v>285</v>
      </c>
      <c r="W197" s="397">
        <v>245</v>
      </c>
      <c r="X197" s="397">
        <v>330</v>
      </c>
      <c r="Y197" s="399">
        <f>S197-('FMTC Main'!$E$22-U197)</f>
        <v>1933</v>
      </c>
      <c r="Z197" s="399">
        <f>T197-('FMTC Main'!$E$27-V197)</f>
        <v>1926</v>
      </c>
      <c r="AA197" s="400" t="str">
        <f>A197&amp;" "&amp;B197&amp;" "&amp;C197</f>
        <v>2004 Ferrari 612 Scaglietti</v>
      </c>
    </row>
    <row r="198" spans="1:27" ht="12.95" customHeight="1">
      <c r="A198" s="394">
        <v>2009</v>
      </c>
      <c r="B198" s="394" t="s">
        <v>134</v>
      </c>
      <c r="C198" s="394" t="s">
        <v>144</v>
      </c>
      <c r="D198" s="395">
        <v>220000</v>
      </c>
      <c r="E198" s="394" t="s">
        <v>349</v>
      </c>
      <c r="F198" s="394">
        <v>523</v>
      </c>
      <c r="G198" s="396">
        <v>8.3000000000000007</v>
      </c>
      <c r="H198" s="396">
        <v>5.2</v>
      </c>
      <c r="I198" s="396">
        <v>7.3</v>
      </c>
      <c r="J198" s="396">
        <v>7.6</v>
      </c>
      <c r="K198" s="396">
        <v>5.0999999999999996</v>
      </c>
      <c r="L198" s="394" t="s">
        <v>1084</v>
      </c>
      <c r="M198" s="394"/>
      <c r="N198" s="389">
        <f>AVERAGE(H198,I198,K198)</f>
        <v>5.8666666666666671</v>
      </c>
      <c r="O198" s="397">
        <v>3825</v>
      </c>
      <c r="P198" s="398">
        <v>1902</v>
      </c>
      <c r="Q198" s="397">
        <v>1308</v>
      </c>
      <c r="R198" s="397">
        <v>2670</v>
      </c>
      <c r="S198" s="397">
        <v>1630</v>
      </c>
      <c r="T198" s="397">
        <v>1605</v>
      </c>
      <c r="U198" s="397">
        <v>245</v>
      </c>
      <c r="V198" s="397">
        <v>285</v>
      </c>
      <c r="W198" s="397">
        <v>390</v>
      </c>
      <c r="X198" s="397">
        <v>360</v>
      </c>
      <c r="Y198" s="399">
        <f>S198-('FMTC Main'!$E$22-U198)</f>
        <v>1875</v>
      </c>
      <c r="Z198" s="399">
        <f>T198-('FMTC Main'!$E$27-V198)</f>
        <v>1890</v>
      </c>
      <c r="AA198" s="400" t="str">
        <f>A198&amp;" "&amp;B198&amp;" "&amp;C198</f>
        <v>2009 Ferrari California</v>
      </c>
    </row>
    <row r="199" spans="1:27" ht="12.95" customHeight="1">
      <c r="A199" s="394">
        <v>2003</v>
      </c>
      <c r="B199" s="394" t="s">
        <v>134</v>
      </c>
      <c r="C199" s="394" t="s">
        <v>1044</v>
      </c>
      <c r="D199" s="395"/>
      <c r="E199" s="394" t="s">
        <v>349</v>
      </c>
      <c r="F199" s="394">
        <v>588</v>
      </c>
      <c r="G199" s="396">
        <v>7.6</v>
      </c>
      <c r="H199" s="396">
        <v>6.2</v>
      </c>
      <c r="I199" s="396">
        <v>7.8</v>
      </c>
      <c r="J199" s="396">
        <v>8.3000000000000007</v>
      </c>
      <c r="K199" s="396">
        <v>6</v>
      </c>
      <c r="L199" s="394" t="s">
        <v>1084</v>
      </c>
      <c r="M199" s="394" t="s">
        <v>1096</v>
      </c>
      <c r="N199" s="389">
        <f>AVERAGE(H199,I199,K199)</f>
        <v>6.666666666666667</v>
      </c>
      <c r="O199" s="397">
        <v>2844</v>
      </c>
      <c r="P199" s="398">
        <v>1922</v>
      </c>
      <c r="Q199" s="397">
        <v>1199</v>
      </c>
      <c r="R199" s="397">
        <v>2600</v>
      </c>
      <c r="S199" s="397">
        <v>1669</v>
      </c>
      <c r="T199" s="397">
        <v>1617</v>
      </c>
      <c r="U199" s="397">
        <v>225</v>
      </c>
      <c r="V199" s="397">
        <v>285</v>
      </c>
      <c r="W199" s="397">
        <v>380</v>
      </c>
      <c r="X199" s="397">
        <v>350</v>
      </c>
      <c r="Y199" s="399">
        <f>S199-('FMTC Main'!$E$22-U199)</f>
        <v>1894</v>
      </c>
      <c r="Z199" s="399">
        <f>T199-('FMTC Main'!$E$27-V199)</f>
        <v>1902</v>
      </c>
      <c r="AA199" s="400" t="str">
        <f>A199&amp;" "&amp;B199&amp;" "&amp;C199</f>
        <v>2003 Ferrari Challenge Stradale</v>
      </c>
    </row>
    <row r="200" spans="1:27" ht="12.95" customHeight="1">
      <c r="A200" s="394">
        <v>1969</v>
      </c>
      <c r="B200" s="394" t="s">
        <v>134</v>
      </c>
      <c r="C200" s="394" t="s">
        <v>145</v>
      </c>
      <c r="D200" s="395">
        <v>55000</v>
      </c>
      <c r="E200" s="394" t="s">
        <v>1085</v>
      </c>
      <c r="F200" s="394">
        <v>300</v>
      </c>
      <c r="G200" s="396">
        <v>4.5999999999999996</v>
      </c>
      <c r="H200" s="396">
        <v>4.4000000000000004</v>
      </c>
      <c r="I200" s="396">
        <v>6</v>
      </c>
      <c r="J200" s="396">
        <v>5.0999999999999996</v>
      </c>
      <c r="K200" s="396">
        <v>4.3</v>
      </c>
      <c r="L200" s="394" t="s">
        <v>1084</v>
      </c>
      <c r="M200" s="394"/>
      <c r="N200" s="389">
        <f>AVERAGE(H200,I200,K200)</f>
        <v>4.8999999999999995</v>
      </c>
      <c r="O200" s="397">
        <v>2380</v>
      </c>
      <c r="P200" s="398">
        <v>1702</v>
      </c>
      <c r="Q200" s="397">
        <v>1150</v>
      </c>
      <c r="R200" s="397">
        <v>2340</v>
      </c>
      <c r="S200" s="397">
        <v>1425</v>
      </c>
      <c r="T200" s="397">
        <v>1430</v>
      </c>
      <c r="U200" s="397">
        <v>205</v>
      </c>
      <c r="V200" s="397">
        <v>205</v>
      </c>
      <c r="W200" s="397">
        <v>269</v>
      </c>
      <c r="X200" s="397">
        <v>254</v>
      </c>
      <c r="Y200" s="399">
        <f>S200-('FMTC Main'!$E$22-U200)</f>
        <v>1630</v>
      </c>
      <c r="Z200" s="399">
        <f>T200-('FMTC Main'!$E$27-V200)</f>
        <v>1635</v>
      </c>
      <c r="AA200" s="400" t="str">
        <f>A200&amp;" "&amp;B200&amp;" "&amp;C200</f>
        <v>1969 Ferrari Dino 246 GT</v>
      </c>
    </row>
    <row r="201" spans="1:27" ht="12.95" customHeight="1">
      <c r="A201" s="394">
        <v>2002</v>
      </c>
      <c r="B201" s="394" t="s">
        <v>134</v>
      </c>
      <c r="C201" s="394" t="s">
        <v>146</v>
      </c>
      <c r="D201" s="395">
        <v>1300000</v>
      </c>
      <c r="E201" s="394" t="s">
        <v>1092</v>
      </c>
      <c r="F201" s="394">
        <v>700</v>
      </c>
      <c r="G201" s="396">
        <v>9.6</v>
      </c>
      <c r="H201" s="396">
        <v>6.5</v>
      </c>
      <c r="I201" s="396">
        <v>9</v>
      </c>
      <c r="J201" s="396">
        <v>8.3000000000000007</v>
      </c>
      <c r="K201" s="396">
        <v>6.4</v>
      </c>
      <c r="L201" s="394" t="s">
        <v>1084</v>
      </c>
      <c r="M201" s="394"/>
      <c r="N201" s="389">
        <f>AVERAGE(H201,I201,K201)</f>
        <v>7.3</v>
      </c>
      <c r="O201" s="397">
        <v>3086</v>
      </c>
      <c r="P201" s="398">
        <v>2035</v>
      </c>
      <c r="Q201" s="397">
        <v>1147</v>
      </c>
      <c r="R201" s="397">
        <v>2650</v>
      </c>
      <c r="S201" s="397">
        <v>1660</v>
      </c>
      <c r="T201" s="397">
        <v>1650</v>
      </c>
      <c r="U201" s="397">
        <v>245</v>
      </c>
      <c r="V201" s="397">
        <v>345</v>
      </c>
      <c r="W201" s="397">
        <v>380</v>
      </c>
      <c r="X201" s="397">
        <v>380</v>
      </c>
      <c r="Y201" s="399">
        <f>S201-('FMTC Main'!$E$22-U201)</f>
        <v>1905</v>
      </c>
      <c r="Z201" s="399">
        <f>T201-('FMTC Main'!$E$27-V201)</f>
        <v>1995</v>
      </c>
      <c r="AA201" s="400" t="str">
        <f>A201&amp;" "&amp;B201&amp;" "&amp;C201</f>
        <v>2002 Ferrari Enzo Ferrari</v>
      </c>
    </row>
    <row r="202" spans="1:27" ht="12.95" customHeight="1">
      <c r="A202" s="394">
        <v>1994</v>
      </c>
      <c r="B202" s="394" t="s">
        <v>134</v>
      </c>
      <c r="C202" s="394" t="s">
        <v>137</v>
      </c>
      <c r="D202" s="395">
        <v>58000</v>
      </c>
      <c r="E202" s="394" t="s">
        <v>349</v>
      </c>
      <c r="F202" s="394">
        <v>505</v>
      </c>
      <c r="G202" s="396">
        <v>7.5</v>
      </c>
      <c r="H202" s="396">
        <v>5.3</v>
      </c>
      <c r="I202" s="396">
        <v>7.4</v>
      </c>
      <c r="J202" s="396">
        <v>7.1</v>
      </c>
      <c r="K202" s="396">
        <v>5.0999999999999996</v>
      </c>
      <c r="L202" s="394" t="s">
        <v>1084</v>
      </c>
      <c r="M202" s="394"/>
      <c r="N202" s="389">
        <f>AVERAGE(H202,I202,K202)</f>
        <v>5.9333333333333327</v>
      </c>
      <c r="O202" s="397">
        <v>3196</v>
      </c>
      <c r="P202" s="398">
        <v>1905</v>
      </c>
      <c r="Q202" s="397">
        <v>1168</v>
      </c>
      <c r="R202" s="397">
        <v>2450</v>
      </c>
      <c r="S202" s="397">
        <v>1524</v>
      </c>
      <c r="T202" s="397">
        <v>1625</v>
      </c>
      <c r="U202" s="397">
        <v>225</v>
      </c>
      <c r="V202" s="397">
        <v>265</v>
      </c>
      <c r="W202" s="397">
        <v>304</v>
      </c>
      <c r="X202" s="397">
        <v>304</v>
      </c>
      <c r="Y202" s="399">
        <f>S202-('FMTC Main'!$E$22-U202)</f>
        <v>1749</v>
      </c>
      <c r="Z202" s="399">
        <f>T202-('FMTC Main'!$E$27-V202)</f>
        <v>1890</v>
      </c>
      <c r="AA202" s="400" t="str">
        <f>A202&amp;" "&amp;B202&amp;" "&amp;C202</f>
        <v>1994 Ferrari F355 Berlinetta</v>
      </c>
    </row>
    <row r="203" spans="1:27" ht="12.95" customHeight="1">
      <c r="A203" s="394">
        <v>1995</v>
      </c>
      <c r="B203" s="394" t="s">
        <v>134</v>
      </c>
      <c r="C203" s="394" t="s">
        <v>138</v>
      </c>
      <c r="D203" s="395">
        <v>75000</v>
      </c>
      <c r="E203" s="394" t="s">
        <v>349</v>
      </c>
      <c r="F203" s="394">
        <v>548</v>
      </c>
      <c r="G203" s="396">
        <v>6.7</v>
      </c>
      <c r="H203" s="396">
        <v>6</v>
      </c>
      <c r="I203" s="396">
        <v>7.6</v>
      </c>
      <c r="J203" s="396">
        <v>7.7</v>
      </c>
      <c r="K203" s="396">
        <v>5.9</v>
      </c>
      <c r="L203" s="394" t="s">
        <v>1084</v>
      </c>
      <c r="M203" s="394"/>
      <c r="N203" s="389">
        <f>AVERAGE(H203,I203,K203)</f>
        <v>6.5</v>
      </c>
      <c r="O203" s="397">
        <v>2986</v>
      </c>
      <c r="P203" s="398">
        <v>1900</v>
      </c>
      <c r="Q203" s="397">
        <v>1170</v>
      </c>
      <c r="R203" s="397">
        <v>2450</v>
      </c>
      <c r="S203" s="397">
        <v>1514</v>
      </c>
      <c r="T203" s="397">
        <v>1615</v>
      </c>
      <c r="U203" s="397">
        <v>245</v>
      </c>
      <c r="V203" s="397">
        <v>305</v>
      </c>
      <c r="W203" s="397">
        <v>304</v>
      </c>
      <c r="X203" s="397">
        <v>304</v>
      </c>
      <c r="Y203" s="399">
        <f>S203-('FMTC Main'!$E$22-U203)</f>
        <v>1759</v>
      </c>
      <c r="Z203" s="399">
        <f>T203-('FMTC Main'!$E$27-V203)</f>
        <v>1920</v>
      </c>
      <c r="AA203" s="400" t="str">
        <f>A203&amp;" "&amp;B203&amp;" "&amp;C203</f>
        <v>1995 Ferrari F355 Challenge</v>
      </c>
    </row>
    <row r="204" spans="1:27" ht="12.95" customHeight="1">
      <c r="A204" s="394">
        <v>1987</v>
      </c>
      <c r="B204" s="394" t="s">
        <v>134</v>
      </c>
      <c r="C204" s="394" t="s">
        <v>147</v>
      </c>
      <c r="D204" s="395">
        <v>380000</v>
      </c>
      <c r="E204" s="394" t="s">
        <v>1092</v>
      </c>
      <c r="F204" s="394">
        <v>614</v>
      </c>
      <c r="G204" s="396">
        <v>8</v>
      </c>
      <c r="H204" s="396">
        <v>6.2</v>
      </c>
      <c r="I204" s="396">
        <v>8.4</v>
      </c>
      <c r="J204" s="396">
        <v>8.3000000000000007</v>
      </c>
      <c r="K204" s="396">
        <v>6</v>
      </c>
      <c r="L204" s="394" t="s">
        <v>1084</v>
      </c>
      <c r="M204" s="394"/>
      <c r="N204" s="389">
        <f>AVERAGE(H204,I204,K204)</f>
        <v>6.8666666666666671</v>
      </c>
      <c r="O204" s="397">
        <v>2980</v>
      </c>
      <c r="P204" s="398">
        <v>1980</v>
      </c>
      <c r="Q204" s="397">
        <v>1130</v>
      </c>
      <c r="R204" s="397">
        <v>2450</v>
      </c>
      <c r="S204" s="397">
        <v>1595</v>
      </c>
      <c r="T204" s="397">
        <v>1610</v>
      </c>
      <c r="U204" s="397">
        <v>245</v>
      </c>
      <c r="V204" s="397">
        <v>335</v>
      </c>
      <c r="W204" s="397">
        <v>330</v>
      </c>
      <c r="X204" s="397">
        <v>330</v>
      </c>
      <c r="Y204" s="399">
        <f>S204-('FMTC Main'!$E$22-U204)</f>
        <v>1840</v>
      </c>
      <c r="Z204" s="399">
        <f>T204-('FMTC Main'!$E$27-V204)</f>
        <v>1945</v>
      </c>
      <c r="AA204" s="400" t="str">
        <f>A204&amp;" "&amp;B204&amp;" "&amp;C204</f>
        <v>1987 Ferrari F40</v>
      </c>
    </row>
    <row r="205" spans="1:27" ht="12.95" customHeight="1">
      <c r="A205" s="394">
        <v>1989</v>
      </c>
      <c r="B205" s="394" t="s">
        <v>134</v>
      </c>
      <c r="C205" s="394" t="s">
        <v>148</v>
      </c>
      <c r="D205" s="395">
        <v>1500000</v>
      </c>
      <c r="E205" s="394" t="s">
        <v>1091</v>
      </c>
      <c r="F205" s="394">
        <v>835</v>
      </c>
      <c r="G205" s="396">
        <v>9.8000000000000007</v>
      </c>
      <c r="H205" s="396">
        <v>7.9</v>
      </c>
      <c r="I205" s="396">
        <v>9.6</v>
      </c>
      <c r="J205" s="396">
        <v>8.3000000000000007</v>
      </c>
      <c r="K205" s="396">
        <v>7.8</v>
      </c>
      <c r="L205" s="394" t="s">
        <v>1084</v>
      </c>
      <c r="M205" s="394"/>
      <c r="N205" s="389">
        <f>AVERAGE(H205,I205,K205)</f>
        <v>8.4333333333333336</v>
      </c>
      <c r="O205" s="397">
        <v>2315</v>
      </c>
      <c r="P205" s="398">
        <v>1970</v>
      </c>
      <c r="Q205" s="397">
        <v>1100</v>
      </c>
      <c r="R205" s="397">
        <v>2450</v>
      </c>
      <c r="S205" s="397">
        <v>1595</v>
      </c>
      <c r="T205" s="397">
        <v>1610</v>
      </c>
      <c r="U205" s="397">
        <v>315</v>
      </c>
      <c r="V205" s="397">
        <v>375</v>
      </c>
      <c r="W205" s="397">
        <v>355</v>
      </c>
      <c r="X205" s="397">
        <v>355</v>
      </c>
      <c r="Y205" s="399">
        <f>S205-('FMTC Main'!$E$22-U205)</f>
        <v>1910</v>
      </c>
      <c r="Z205" s="399">
        <f>T205-('FMTC Main'!$E$27-V205)</f>
        <v>1985</v>
      </c>
      <c r="AA205" s="400" t="str">
        <f>A205&amp;" "&amp;B205&amp;" "&amp;C205</f>
        <v>1989 Ferrari F40 Competizione</v>
      </c>
    </row>
    <row r="206" spans="1:27" ht="12.95" customHeight="1">
      <c r="A206" s="394">
        <v>2004</v>
      </c>
      <c r="B206" s="394" t="s">
        <v>134</v>
      </c>
      <c r="C206" s="394" t="s">
        <v>149</v>
      </c>
      <c r="D206" s="395">
        <v>150000</v>
      </c>
      <c r="E206" s="394" t="s">
        <v>349</v>
      </c>
      <c r="F206" s="394">
        <v>598</v>
      </c>
      <c r="G206" s="396">
        <v>8.6</v>
      </c>
      <c r="H206" s="396">
        <v>5.7</v>
      </c>
      <c r="I206" s="396">
        <v>8.1999999999999993</v>
      </c>
      <c r="J206" s="396">
        <v>8.1</v>
      </c>
      <c r="K206" s="396">
        <v>5.6</v>
      </c>
      <c r="L206" s="394" t="s">
        <v>1084</v>
      </c>
      <c r="M206" s="394"/>
      <c r="N206" s="389">
        <f>AVERAGE(H206,I206,K206)</f>
        <v>6.5</v>
      </c>
      <c r="O206" s="397">
        <v>3197</v>
      </c>
      <c r="P206" s="398">
        <v>1923</v>
      </c>
      <c r="Q206" s="397">
        <v>1214</v>
      </c>
      <c r="R206" s="397">
        <v>2600</v>
      </c>
      <c r="S206" s="397">
        <v>1669</v>
      </c>
      <c r="T206" s="397">
        <v>1616</v>
      </c>
      <c r="U206" s="397">
        <v>225</v>
      </c>
      <c r="V206" s="397">
        <v>285</v>
      </c>
      <c r="W206" s="397">
        <v>380</v>
      </c>
      <c r="X206" s="397">
        <v>380</v>
      </c>
      <c r="Y206" s="399">
        <f>S206-('FMTC Main'!$E$22-U206)</f>
        <v>1894</v>
      </c>
      <c r="Z206" s="399">
        <f>T206-('FMTC Main'!$E$27-V206)</f>
        <v>1901</v>
      </c>
      <c r="AA206" s="400" t="str">
        <f>A206&amp;" "&amp;B206&amp;" "&amp;C206</f>
        <v>2004 Ferrari F430</v>
      </c>
    </row>
    <row r="207" spans="1:27" ht="12.95" customHeight="1">
      <c r="A207" s="394">
        <v>1995</v>
      </c>
      <c r="B207" s="394" t="s">
        <v>134</v>
      </c>
      <c r="C207" s="394" t="s">
        <v>150</v>
      </c>
      <c r="D207" s="395">
        <v>400000</v>
      </c>
      <c r="E207" s="394" t="s">
        <v>1092</v>
      </c>
      <c r="F207" s="394">
        <v>617</v>
      </c>
      <c r="G207" s="396">
        <v>8.1999999999999993</v>
      </c>
      <c r="H207" s="396">
        <v>6.4</v>
      </c>
      <c r="I207" s="396">
        <v>8.4</v>
      </c>
      <c r="J207" s="396">
        <v>7.6</v>
      </c>
      <c r="K207" s="396">
        <v>6.2</v>
      </c>
      <c r="L207" s="394" t="s">
        <v>1084</v>
      </c>
      <c r="M207" s="394"/>
      <c r="N207" s="389">
        <f>AVERAGE(H207,I207,K207)</f>
        <v>7</v>
      </c>
      <c r="O207" s="397">
        <v>2712</v>
      </c>
      <c r="P207" s="398">
        <v>1986</v>
      </c>
      <c r="Q207" s="397">
        <v>1120</v>
      </c>
      <c r="R207" s="397">
        <v>2580</v>
      </c>
      <c r="S207" s="397">
        <v>1620</v>
      </c>
      <c r="T207" s="397">
        <v>1602</v>
      </c>
      <c r="U207" s="397">
        <v>245</v>
      </c>
      <c r="V207" s="397">
        <v>335</v>
      </c>
      <c r="W207" s="397">
        <v>355</v>
      </c>
      <c r="X207" s="397">
        <v>330</v>
      </c>
      <c r="Y207" s="399">
        <f>S207-('FMTC Main'!$E$22-U207)</f>
        <v>1865</v>
      </c>
      <c r="Z207" s="399">
        <f>T207-('FMTC Main'!$E$27-V207)</f>
        <v>1937</v>
      </c>
      <c r="AA207" s="400" t="str">
        <f>A207&amp;" "&amp;B207&amp;" "&amp;C207</f>
        <v>1995 Ferrari F50</v>
      </c>
    </row>
    <row r="208" spans="1:27" ht="12.95" customHeight="1">
      <c r="A208" s="394">
        <v>1996</v>
      </c>
      <c r="B208" s="394" t="s">
        <v>134</v>
      </c>
      <c r="C208" s="394" t="s">
        <v>151</v>
      </c>
      <c r="D208" s="395">
        <v>1200000</v>
      </c>
      <c r="E208" s="394" t="s">
        <v>1091</v>
      </c>
      <c r="F208" s="394">
        <v>875</v>
      </c>
      <c r="G208" s="396">
        <v>8.1999999999999993</v>
      </c>
      <c r="H208" s="396">
        <v>8.6</v>
      </c>
      <c r="I208" s="396">
        <v>9.6</v>
      </c>
      <c r="J208" s="396">
        <v>8.6999999999999993</v>
      </c>
      <c r="K208" s="396">
        <v>8.6</v>
      </c>
      <c r="L208" s="394" t="s">
        <v>1084</v>
      </c>
      <c r="M208" s="394"/>
      <c r="N208" s="389">
        <f>AVERAGE(H208,I208,K208)</f>
        <v>8.9333333333333318</v>
      </c>
      <c r="O208" s="397">
        <v>2002</v>
      </c>
      <c r="P208" s="398">
        <v>1986</v>
      </c>
      <c r="Q208" s="397">
        <v>1092</v>
      </c>
      <c r="R208" s="397">
        <v>2580</v>
      </c>
      <c r="S208" s="397">
        <v>1620</v>
      </c>
      <c r="T208" s="397">
        <v>1600</v>
      </c>
      <c r="U208" s="397">
        <v>285</v>
      </c>
      <c r="V208" s="397">
        <v>325</v>
      </c>
      <c r="W208" s="397">
        <v>380</v>
      </c>
      <c r="X208" s="397">
        <v>380</v>
      </c>
      <c r="Y208" s="399">
        <f>S208-('FMTC Main'!$E$22-U208)</f>
        <v>1905</v>
      </c>
      <c r="Z208" s="399">
        <f>T208-('FMTC Main'!$E$27-V208)</f>
        <v>1925</v>
      </c>
      <c r="AA208" s="400" t="str">
        <f>A208&amp;" "&amp;B208&amp;" "&amp;C208</f>
        <v>1996 Ferrari F50 GT</v>
      </c>
    </row>
    <row r="209" spans="1:27" ht="12.95" customHeight="1">
      <c r="A209" s="394">
        <v>2011</v>
      </c>
      <c r="B209" s="394" t="s">
        <v>134</v>
      </c>
      <c r="C209" s="394" t="s">
        <v>861</v>
      </c>
      <c r="D209" s="395">
        <v>280000</v>
      </c>
      <c r="E209" s="394" t="s">
        <v>1092</v>
      </c>
      <c r="F209" s="394">
        <v>638</v>
      </c>
      <c r="G209" s="396">
        <v>8.9</v>
      </c>
      <c r="H209" s="396">
        <v>5.2</v>
      </c>
      <c r="I209" s="396">
        <v>8.6999999999999993</v>
      </c>
      <c r="J209" s="396">
        <v>9.5</v>
      </c>
      <c r="K209" s="396">
        <v>5.2</v>
      </c>
      <c r="L209" s="394" t="s">
        <v>1084</v>
      </c>
      <c r="M209" s="394"/>
      <c r="N209" s="389">
        <f>AVERAGE(H209,I209,K209)</f>
        <v>6.3666666666666663</v>
      </c>
      <c r="O209" s="397">
        <v>4145</v>
      </c>
      <c r="P209" s="398">
        <v>1953</v>
      </c>
      <c r="Q209" s="397">
        <v>1379</v>
      </c>
      <c r="R209" s="397">
        <v>2990</v>
      </c>
      <c r="S209" s="397">
        <v>1676</v>
      </c>
      <c r="T209" s="397">
        <v>1660</v>
      </c>
      <c r="U209" s="397">
        <v>245</v>
      </c>
      <c r="V209" s="397">
        <v>295</v>
      </c>
      <c r="W209" s="397">
        <v>398</v>
      </c>
      <c r="X209" s="397">
        <v>360</v>
      </c>
      <c r="Y209" s="399">
        <f>S209-('FMTC Main'!$E$22-U209)</f>
        <v>1921</v>
      </c>
      <c r="Z209" s="399">
        <f>T209-('FMTC Main'!$E$27-V209)</f>
        <v>1955</v>
      </c>
      <c r="AA209" s="400" t="str">
        <f>A209&amp;" "&amp;B209&amp;" "&amp;C209</f>
        <v>2011 Ferrari FF</v>
      </c>
    </row>
    <row r="210" spans="1:27" ht="12.95" customHeight="1">
      <c r="A210" s="394">
        <v>2005</v>
      </c>
      <c r="B210" s="394" t="s">
        <v>134</v>
      </c>
      <c r="C210" s="394" t="s">
        <v>152</v>
      </c>
      <c r="D210" s="395">
        <v>2500000</v>
      </c>
      <c r="E210" s="394" t="s">
        <v>1094</v>
      </c>
      <c r="F210" s="394">
        <v>800</v>
      </c>
      <c r="G210" s="396">
        <v>8</v>
      </c>
      <c r="H210" s="396">
        <v>7.8</v>
      </c>
      <c r="I210" s="396">
        <v>9.4</v>
      </c>
      <c r="J210" s="396">
        <v>8.5</v>
      </c>
      <c r="K210" s="396">
        <v>7.5</v>
      </c>
      <c r="L210" s="394" t="s">
        <v>1084</v>
      </c>
      <c r="M210" s="394"/>
      <c r="N210" s="389">
        <f>AVERAGE(H210,I210,K210)</f>
        <v>8.2333333333333325</v>
      </c>
      <c r="O210" s="397">
        <v>2546</v>
      </c>
      <c r="P210" s="398">
        <v>2035</v>
      </c>
      <c r="Q210" s="397">
        <v>1147</v>
      </c>
      <c r="R210" s="397">
        <v>2650</v>
      </c>
      <c r="S210" s="397">
        <v>1660</v>
      </c>
      <c r="T210" s="397">
        <v>1650</v>
      </c>
      <c r="U210" s="397">
        <v>245</v>
      </c>
      <c r="V210" s="397">
        <v>345</v>
      </c>
      <c r="W210" s="397">
        <v>380</v>
      </c>
      <c r="X210" s="397">
        <v>380</v>
      </c>
      <c r="Y210" s="399">
        <f>S210-('FMTC Main'!$E$22-U210)</f>
        <v>1905</v>
      </c>
      <c r="Z210" s="399">
        <f>T210-('FMTC Main'!$E$27-V210)</f>
        <v>1995</v>
      </c>
      <c r="AA210" s="400" t="str">
        <f>A210&amp;" "&amp;B210&amp;" "&amp;C210</f>
        <v>2005 Ferrari FXX</v>
      </c>
    </row>
    <row r="211" spans="1:27" ht="12.95" customHeight="1">
      <c r="A211" s="394">
        <v>1984</v>
      </c>
      <c r="B211" s="394" t="s">
        <v>134</v>
      </c>
      <c r="C211" s="394" t="s">
        <v>153</v>
      </c>
      <c r="D211" s="395">
        <v>320000</v>
      </c>
      <c r="E211" s="394" t="s">
        <v>349</v>
      </c>
      <c r="F211" s="394">
        <v>534</v>
      </c>
      <c r="G211" s="396">
        <v>7.3</v>
      </c>
      <c r="H211" s="396">
        <v>5.3</v>
      </c>
      <c r="I211" s="396">
        <v>7.9</v>
      </c>
      <c r="J211" s="396">
        <v>7.7</v>
      </c>
      <c r="K211" s="396">
        <v>6.1</v>
      </c>
      <c r="L211" s="394" t="s">
        <v>1084</v>
      </c>
      <c r="M211" s="394"/>
      <c r="N211" s="389">
        <f>AVERAGE(H211,I211,K211)</f>
        <v>6.4333333333333327</v>
      </c>
      <c r="O211" s="397">
        <v>2557</v>
      </c>
      <c r="P211" s="398">
        <v>1910</v>
      </c>
      <c r="Q211" s="397">
        <v>1120</v>
      </c>
      <c r="R211" s="397">
        <v>2400</v>
      </c>
      <c r="S211" s="397">
        <v>1559</v>
      </c>
      <c r="T211" s="397">
        <v>1562</v>
      </c>
      <c r="U211" s="397">
        <v>225</v>
      </c>
      <c r="V211" s="397">
        <v>265</v>
      </c>
      <c r="W211" s="397">
        <v>306</v>
      </c>
      <c r="X211" s="397">
        <v>310</v>
      </c>
      <c r="Y211" s="399">
        <f>S211-('FMTC Main'!$E$22-U211)</f>
        <v>1784</v>
      </c>
      <c r="Z211" s="399">
        <f>T211-('FMTC Main'!$E$27-V211)</f>
        <v>1827</v>
      </c>
      <c r="AA211" s="400" t="str">
        <f>A211&amp;" "&amp;B211&amp;" "&amp;C211</f>
        <v>1984 Ferrari GTO</v>
      </c>
    </row>
    <row r="212" spans="1:27" ht="12.95" customHeight="1">
      <c r="A212" s="402">
        <v>2000</v>
      </c>
      <c r="B212" s="402" t="s">
        <v>154</v>
      </c>
      <c r="C212" s="402" t="s">
        <v>1159</v>
      </c>
      <c r="D212" s="403">
        <v>7000</v>
      </c>
      <c r="E212" s="402" t="s">
        <v>1087</v>
      </c>
      <c r="F212" s="402">
        <v>411</v>
      </c>
      <c r="G212" s="404">
        <v>5.3</v>
      </c>
      <c r="H212" s="404">
        <v>4.5999999999999996</v>
      </c>
      <c r="I212" s="404">
        <v>6.3</v>
      </c>
      <c r="J212" s="404">
        <v>6.8</v>
      </c>
      <c r="K212" s="404">
        <v>4.5</v>
      </c>
      <c r="L212" s="402" t="s">
        <v>1084</v>
      </c>
      <c r="M212" s="402" t="s">
        <v>1154</v>
      </c>
      <c r="N212" s="389">
        <f>AVERAGE(H212,I212,K212)</f>
        <v>5.1333333333333329</v>
      </c>
      <c r="O212" s="405">
        <v>2888</v>
      </c>
      <c r="P212" s="405">
        <v>1761</v>
      </c>
      <c r="Q212" s="405">
        <v>1341</v>
      </c>
      <c r="R212" s="405">
        <v>2541</v>
      </c>
      <c r="S212" s="405">
        <v>1490</v>
      </c>
      <c r="T212" s="405">
        <v>1468</v>
      </c>
      <c r="U212" s="405">
        <v>225</v>
      </c>
      <c r="V212" s="405">
        <v>225</v>
      </c>
      <c r="W212" s="405">
        <v>305</v>
      </c>
      <c r="X212" s="405">
        <v>251</v>
      </c>
      <c r="Y212" s="406">
        <f>S212-('FMTC Main'!$E$22-U212)</f>
        <v>1715</v>
      </c>
      <c r="Z212" s="406">
        <f>T212-('FMTC Main'!$E$27-V212)</f>
        <v>1693</v>
      </c>
      <c r="AA212" s="407" t="str">
        <f>A212&amp;" "&amp;B212&amp;" "&amp;C212</f>
        <v>2000 Fiat Coupe 20V Turbo</v>
      </c>
    </row>
    <row r="213" spans="1:27" ht="12.95" customHeight="1">
      <c r="A213" s="394">
        <v>2010</v>
      </c>
      <c r="B213" s="394" t="s">
        <v>154</v>
      </c>
      <c r="C213" s="394" t="s">
        <v>862</v>
      </c>
      <c r="D213" s="395">
        <v>20000</v>
      </c>
      <c r="E213" s="394" t="s">
        <v>1083</v>
      </c>
      <c r="F213" s="394">
        <v>243</v>
      </c>
      <c r="G213" s="396">
        <v>3.2</v>
      </c>
      <c r="H213" s="396">
        <v>4.0999999999999996</v>
      </c>
      <c r="I213" s="396">
        <v>5</v>
      </c>
      <c r="J213" s="396">
        <v>5.4</v>
      </c>
      <c r="K213" s="396">
        <v>4</v>
      </c>
      <c r="L213" s="394" t="s">
        <v>1084</v>
      </c>
      <c r="M213" s="394"/>
      <c r="N213" s="389">
        <f>AVERAGE(H213,I213,K213)</f>
        <v>4.3666666666666663</v>
      </c>
      <c r="O213" s="397">
        <v>2546</v>
      </c>
      <c r="P213" s="398">
        <v>1726</v>
      </c>
      <c r="Q213" s="397">
        <v>1470</v>
      </c>
      <c r="R213" s="397">
        <v>2510</v>
      </c>
      <c r="S213" s="397">
        <v>1483</v>
      </c>
      <c r="T213" s="397">
        <v>1471</v>
      </c>
      <c r="U213" s="397">
        <v>205</v>
      </c>
      <c r="V213" s="397">
        <v>205</v>
      </c>
      <c r="W213" s="397">
        <v>305</v>
      </c>
      <c r="X213" s="397">
        <v>264</v>
      </c>
      <c r="Y213" s="399">
        <f>S213-('FMTC Main'!$E$22-U213)</f>
        <v>1688</v>
      </c>
      <c r="Z213" s="399">
        <f>T213-('FMTC Main'!$E$27-V213)</f>
        <v>1676</v>
      </c>
      <c r="AA213" s="400" t="str">
        <f>A213&amp;" "&amp;B213&amp;" "&amp;C213</f>
        <v>2010 Fiat Punto EVO Sport</v>
      </c>
    </row>
    <row r="214" spans="1:27" ht="12.95" customHeight="1">
      <c r="A214" s="394">
        <v>2011</v>
      </c>
      <c r="B214" s="394" t="s">
        <v>155</v>
      </c>
      <c r="C214" s="394" t="s">
        <v>875</v>
      </c>
      <c r="D214" s="395">
        <v>900000</v>
      </c>
      <c r="E214" s="394" t="s">
        <v>1094</v>
      </c>
      <c r="F214" s="394">
        <v>729</v>
      </c>
      <c r="G214" s="396">
        <v>9.1999999999999993</v>
      </c>
      <c r="H214" s="396">
        <v>7.2</v>
      </c>
      <c r="I214" s="396">
        <v>8.6</v>
      </c>
      <c r="J214" s="396">
        <v>7.6</v>
      </c>
      <c r="K214" s="396">
        <v>7.1</v>
      </c>
      <c r="L214" s="394" t="s">
        <v>1075</v>
      </c>
      <c r="M214" s="394"/>
      <c r="N214" s="389">
        <f>AVERAGE(H214,I214,K214)</f>
        <v>7.6333333333333329</v>
      </c>
      <c r="O214" s="397">
        <v>3400</v>
      </c>
      <c r="P214" s="398">
        <v>1943</v>
      </c>
      <c r="Q214" s="397">
        <v>1359</v>
      </c>
      <c r="R214" s="397">
        <v>2794</v>
      </c>
      <c r="S214" s="397">
        <v>1638</v>
      </c>
      <c r="T214" s="397">
        <v>1638</v>
      </c>
      <c r="U214" s="397">
        <v>305</v>
      </c>
      <c r="V214" s="397">
        <v>305</v>
      </c>
      <c r="W214" s="397">
        <v>323</v>
      </c>
      <c r="X214" s="397">
        <v>323</v>
      </c>
      <c r="Y214" s="399">
        <f>S214-('FMTC Main'!$E$22-U214)</f>
        <v>1943</v>
      </c>
      <c r="Z214" s="399">
        <f>T214-('FMTC Main'!$E$27-V214)</f>
        <v>1943</v>
      </c>
      <c r="AA214" s="400" t="str">
        <f>A214&amp;" "&amp;B214&amp;" "&amp;C214</f>
        <v>2011 Ford #05 Ford Racing Fusion Stock Car</v>
      </c>
    </row>
    <row r="215" spans="1:27" ht="12.95" customHeight="1">
      <c r="A215" s="394">
        <v>2011</v>
      </c>
      <c r="B215" s="394" t="s">
        <v>155</v>
      </c>
      <c r="C215" s="394" t="s">
        <v>876</v>
      </c>
      <c r="D215" s="395">
        <v>900000</v>
      </c>
      <c r="E215" s="394" t="s">
        <v>1094</v>
      </c>
      <c r="F215" s="394">
        <v>709</v>
      </c>
      <c r="G215" s="396">
        <v>7.2</v>
      </c>
      <c r="H215" s="396">
        <v>7.2</v>
      </c>
      <c r="I215" s="396">
        <v>8.5</v>
      </c>
      <c r="J215" s="396">
        <v>7.2</v>
      </c>
      <c r="K215" s="396">
        <v>7.2</v>
      </c>
      <c r="L215" s="394" t="s">
        <v>1075</v>
      </c>
      <c r="M215" s="394"/>
      <c r="N215" s="389">
        <f>AVERAGE(H215,I215,K215)</f>
        <v>7.6333333333333329</v>
      </c>
      <c r="O215" s="397">
        <v>2987</v>
      </c>
      <c r="P215" s="398">
        <v>1868</v>
      </c>
      <c r="Q215" s="397">
        <v>1433</v>
      </c>
      <c r="R215" s="397">
        <v>2844</v>
      </c>
      <c r="S215" s="397">
        <v>1583</v>
      </c>
      <c r="T215" s="397">
        <v>1598</v>
      </c>
      <c r="U215" s="397">
        <v>280</v>
      </c>
      <c r="V215" s="397">
        <v>280</v>
      </c>
      <c r="W215" s="397">
        <v>375</v>
      </c>
      <c r="X215" s="397">
        <v>343</v>
      </c>
      <c r="Y215" s="399">
        <f>S215-('FMTC Main'!$E$22-U215)</f>
        <v>1863</v>
      </c>
      <c r="Z215" s="399">
        <f>T215-('FMTC Main'!$E$27-V215)</f>
        <v>1878</v>
      </c>
      <c r="AA215" s="400" t="str">
        <f>A215&amp;" "&amp;B215&amp;" "&amp;C215</f>
        <v>2011 Ford #17 Dick Johnson Racing Team FG Falcon</v>
      </c>
    </row>
    <row r="216" spans="1:27" ht="12.95" customHeight="1">
      <c r="A216" s="394">
        <v>2011</v>
      </c>
      <c r="B216" s="394" t="s">
        <v>155</v>
      </c>
      <c r="C216" s="394" t="s">
        <v>877</v>
      </c>
      <c r="D216" s="395">
        <v>900000</v>
      </c>
      <c r="E216" s="394" t="s">
        <v>1094</v>
      </c>
      <c r="F216" s="394">
        <v>709</v>
      </c>
      <c r="G216" s="396">
        <v>7.2</v>
      </c>
      <c r="H216" s="396">
        <v>7.2</v>
      </c>
      <c r="I216" s="396">
        <v>8.5</v>
      </c>
      <c r="J216" s="396">
        <v>7.2</v>
      </c>
      <c r="K216" s="396">
        <v>7.2</v>
      </c>
      <c r="L216" s="394" t="s">
        <v>1075</v>
      </c>
      <c r="M216" s="394"/>
      <c r="N216" s="389">
        <f>AVERAGE(H216,I216,K216)</f>
        <v>7.6333333333333329</v>
      </c>
      <c r="O216" s="397">
        <v>2987</v>
      </c>
      <c r="P216" s="398">
        <v>1598</v>
      </c>
      <c r="Q216" s="397">
        <v>1433</v>
      </c>
      <c r="R216" s="397">
        <v>2844</v>
      </c>
      <c r="S216" s="397">
        <v>1583</v>
      </c>
      <c r="T216" s="397">
        <v>1598</v>
      </c>
      <c r="U216" s="397">
        <v>280</v>
      </c>
      <c r="V216" s="397">
        <v>280</v>
      </c>
      <c r="W216" s="397">
        <v>375</v>
      </c>
      <c r="X216" s="397">
        <v>343</v>
      </c>
      <c r="Y216" s="399">
        <f>S216-('FMTC Main'!$E$22-U216)</f>
        <v>1863</v>
      </c>
      <c r="Z216" s="399">
        <f>T216-('FMTC Main'!$E$27-V216)</f>
        <v>1878</v>
      </c>
      <c r="AA216" s="400" t="str">
        <f>A216&amp;" "&amp;B216&amp;" "&amp;C216</f>
        <v>2011 Ford #19 Mother Energy Racing Team FG Falcon</v>
      </c>
    </row>
    <row r="217" spans="1:27" ht="12.95" customHeight="1">
      <c r="A217" s="394">
        <v>2011</v>
      </c>
      <c r="B217" s="394" t="s">
        <v>155</v>
      </c>
      <c r="C217" s="394" t="s">
        <v>878</v>
      </c>
      <c r="D217" s="395">
        <v>900000</v>
      </c>
      <c r="E217" s="394" t="s">
        <v>1094</v>
      </c>
      <c r="F217" s="394">
        <v>709</v>
      </c>
      <c r="G217" s="396">
        <v>7.2</v>
      </c>
      <c r="H217" s="396">
        <v>7.2</v>
      </c>
      <c r="I217" s="396">
        <v>8.5</v>
      </c>
      <c r="J217" s="396">
        <v>7.2</v>
      </c>
      <c r="K217" s="396">
        <v>7.2</v>
      </c>
      <c r="L217" s="394" t="s">
        <v>1075</v>
      </c>
      <c r="M217" s="394"/>
      <c r="N217" s="389">
        <f>AVERAGE(H217,I217,K217)</f>
        <v>7.6333333333333329</v>
      </c>
      <c r="O217" s="397">
        <v>2987</v>
      </c>
      <c r="P217" s="398">
        <v>1598</v>
      </c>
      <c r="Q217" s="397">
        <v>1433</v>
      </c>
      <c r="R217" s="397">
        <v>2844</v>
      </c>
      <c r="S217" s="397">
        <v>1583</v>
      </c>
      <c r="T217" s="397">
        <v>1583</v>
      </c>
      <c r="U217" s="397">
        <v>280</v>
      </c>
      <c r="V217" s="397">
        <v>280</v>
      </c>
      <c r="W217" s="397">
        <v>375</v>
      </c>
      <c r="X217" s="397">
        <v>343</v>
      </c>
      <c r="Y217" s="399">
        <f>S217-('FMTC Main'!$E$22-U217)</f>
        <v>1863</v>
      </c>
      <c r="Z217" s="399">
        <f>T217-('FMTC Main'!$E$27-V217)</f>
        <v>1863</v>
      </c>
      <c r="AA217" s="400" t="str">
        <f>A217&amp;" "&amp;B217&amp;" "&amp;C217</f>
        <v>2011 Ford #4 IRWIN Racing FG Falcon</v>
      </c>
    </row>
    <row r="218" spans="1:27" ht="12.95" customHeight="1">
      <c r="A218" s="394">
        <v>2009</v>
      </c>
      <c r="B218" s="394" t="s">
        <v>155</v>
      </c>
      <c r="C218" s="394" t="s">
        <v>874</v>
      </c>
      <c r="D218" s="395">
        <v>1000000</v>
      </c>
      <c r="E218" s="394" t="s">
        <v>1094</v>
      </c>
      <c r="F218" s="394">
        <v>761</v>
      </c>
      <c r="G218" s="396">
        <v>7</v>
      </c>
      <c r="H218" s="396">
        <v>7.7</v>
      </c>
      <c r="I218" s="396">
        <v>8.6</v>
      </c>
      <c r="J218" s="396">
        <v>7.3</v>
      </c>
      <c r="K218" s="396">
        <v>7.7</v>
      </c>
      <c r="L218" s="394" t="s">
        <v>1075</v>
      </c>
      <c r="M218" s="394"/>
      <c r="N218" s="389">
        <f>AVERAGE(H218,I218,K218)</f>
        <v>8</v>
      </c>
      <c r="O218" s="397">
        <v>2690</v>
      </c>
      <c r="P218" s="397">
        <v>1953</v>
      </c>
      <c r="Q218" s="397">
        <v>1125</v>
      </c>
      <c r="R218" s="397">
        <v>2710</v>
      </c>
      <c r="S218" s="397">
        <v>1599</v>
      </c>
      <c r="T218" s="397">
        <v>1618</v>
      </c>
      <c r="U218" s="397">
        <v>285</v>
      </c>
      <c r="V218" s="397">
        <v>310</v>
      </c>
      <c r="W218" s="397">
        <v>380</v>
      </c>
      <c r="X218" s="397">
        <v>355</v>
      </c>
      <c r="Y218" s="399">
        <f>S218-('FMTC Main'!$E$22-U218)</f>
        <v>1884</v>
      </c>
      <c r="Z218" s="399">
        <f>T218-('FMTC Main'!$E$27-V218)</f>
        <v>1928</v>
      </c>
      <c r="AA218" s="400" t="str">
        <f>A218&amp;" "&amp;B218&amp;" "&amp;C218</f>
        <v>2009 Ford #40 Robertson Racing Ford GT Mk.7</v>
      </c>
    </row>
    <row r="219" spans="1:27" ht="12.95" customHeight="1">
      <c r="A219" s="394">
        <v>2011</v>
      </c>
      <c r="B219" s="394" t="s">
        <v>155</v>
      </c>
      <c r="C219" s="394" t="s">
        <v>156</v>
      </c>
      <c r="D219" s="395">
        <v>900000</v>
      </c>
      <c r="E219" s="394" t="s">
        <v>1094</v>
      </c>
      <c r="F219" s="394">
        <v>709</v>
      </c>
      <c r="G219" s="396">
        <v>7.2</v>
      </c>
      <c r="H219" s="396">
        <v>7.2</v>
      </c>
      <c r="I219" s="396">
        <v>8.5</v>
      </c>
      <c r="J219" s="396">
        <v>7.2</v>
      </c>
      <c r="K219" s="396">
        <v>7.2</v>
      </c>
      <c r="L219" s="394" t="s">
        <v>1075</v>
      </c>
      <c r="M219" s="394"/>
      <c r="N219" s="389">
        <f>AVERAGE(H219,I219,K219)</f>
        <v>7.6333333333333329</v>
      </c>
      <c r="O219" s="397">
        <v>2987</v>
      </c>
      <c r="P219" s="398">
        <v>1598</v>
      </c>
      <c r="Q219" s="397">
        <v>1433</v>
      </c>
      <c r="R219" s="397">
        <v>2844</v>
      </c>
      <c r="S219" s="397">
        <v>1583</v>
      </c>
      <c r="T219" s="397">
        <v>1583</v>
      </c>
      <c r="U219" s="397">
        <v>280</v>
      </c>
      <c r="V219" s="397">
        <v>280</v>
      </c>
      <c r="W219" s="397">
        <v>375</v>
      </c>
      <c r="X219" s="397">
        <v>343</v>
      </c>
      <c r="Y219" s="399">
        <f>S219-('FMTC Main'!$E$22-U219)</f>
        <v>1863</v>
      </c>
      <c r="Z219" s="399">
        <f>T219-('FMTC Main'!$E$27-V219)</f>
        <v>1863</v>
      </c>
      <c r="AA219" s="400" t="str">
        <f>A219&amp;" "&amp;B219&amp;" "&amp;C219</f>
        <v>2011 Ford #5 Ford Performance Racing FG Falcon</v>
      </c>
    </row>
    <row r="220" spans="1:27" ht="12.95" customHeight="1">
      <c r="A220" s="394">
        <v>2011</v>
      </c>
      <c r="B220" s="394" t="s">
        <v>155</v>
      </c>
      <c r="C220" s="394" t="s">
        <v>879</v>
      </c>
      <c r="D220" s="395">
        <v>900000</v>
      </c>
      <c r="E220" s="394" t="s">
        <v>1094</v>
      </c>
      <c r="F220" s="394">
        <v>709</v>
      </c>
      <c r="G220" s="396">
        <v>7.2</v>
      </c>
      <c r="H220" s="396">
        <v>7.2</v>
      </c>
      <c r="I220" s="396">
        <v>8.5</v>
      </c>
      <c r="J220" s="396">
        <v>7.2</v>
      </c>
      <c r="K220" s="396">
        <v>7.2</v>
      </c>
      <c r="L220" s="394" t="s">
        <v>1075</v>
      </c>
      <c r="M220" s="394"/>
      <c r="N220" s="389">
        <f>AVERAGE(H220,I220,K220)</f>
        <v>7.6333333333333329</v>
      </c>
      <c r="O220" s="397">
        <v>2987</v>
      </c>
      <c r="P220" s="398">
        <v>1598</v>
      </c>
      <c r="Q220" s="397">
        <v>1433</v>
      </c>
      <c r="R220" s="397">
        <v>2844</v>
      </c>
      <c r="S220" s="397">
        <v>1583</v>
      </c>
      <c r="T220" s="397">
        <v>1583</v>
      </c>
      <c r="U220" s="397">
        <v>280</v>
      </c>
      <c r="V220" s="397">
        <v>280</v>
      </c>
      <c r="W220" s="397">
        <v>375</v>
      </c>
      <c r="X220" s="397">
        <v>343</v>
      </c>
      <c r="Y220" s="399">
        <f>S220-('FMTC Main'!$E$22-U220)</f>
        <v>1863</v>
      </c>
      <c r="Z220" s="399">
        <f>T220-('FMTC Main'!$E$27-V220)</f>
        <v>1863</v>
      </c>
      <c r="AA220" s="400" t="str">
        <f>A220&amp;" "&amp;B220&amp;" "&amp;C220</f>
        <v>2011 Ford #9 SP Tools Racing FG Falcon</v>
      </c>
    </row>
    <row r="221" spans="1:27" ht="12.95" customHeight="1">
      <c r="A221" s="394">
        <v>1992</v>
      </c>
      <c r="B221" s="394" t="s">
        <v>155</v>
      </c>
      <c r="C221" s="394" t="s">
        <v>872</v>
      </c>
      <c r="D221" s="395">
        <v>24000</v>
      </c>
      <c r="E221" s="394" t="s">
        <v>1087</v>
      </c>
      <c r="F221" s="394">
        <v>371</v>
      </c>
      <c r="G221" s="396">
        <v>4.0999999999999996</v>
      </c>
      <c r="H221" s="396">
        <v>5.0999999999999996</v>
      </c>
      <c r="I221" s="396">
        <v>5.5</v>
      </c>
      <c r="J221" s="396">
        <v>6.3</v>
      </c>
      <c r="K221" s="396">
        <v>5</v>
      </c>
      <c r="L221" s="394" t="s">
        <v>1075</v>
      </c>
      <c r="M221" s="394"/>
      <c r="N221" s="389">
        <f>AVERAGE(H221,I221,K221)</f>
        <v>5.2</v>
      </c>
      <c r="O221" s="397">
        <v>2811</v>
      </c>
      <c r="P221" s="398">
        <v>1734</v>
      </c>
      <c r="Q221" s="397">
        <v>1405</v>
      </c>
      <c r="R221" s="397">
        <v>2551</v>
      </c>
      <c r="S221" s="397">
        <v>1525</v>
      </c>
      <c r="T221" s="397">
        <v>1575</v>
      </c>
      <c r="U221" s="397">
        <v>225</v>
      </c>
      <c r="V221" s="397">
        <v>225</v>
      </c>
      <c r="W221" s="397">
        <v>278</v>
      </c>
      <c r="X221" s="397">
        <v>273</v>
      </c>
      <c r="Y221" s="399">
        <f>S221-('FMTC Main'!$E$22-U221)</f>
        <v>1750</v>
      </c>
      <c r="Z221" s="399">
        <f>T221-('FMTC Main'!$E$27-V221)</f>
        <v>1800</v>
      </c>
      <c r="AA221" s="400" t="str">
        <f>A221&amp;" "&amp;B221&amp;" "&amp;C221</f>
        <v>1992 Ford Escort RS Cosworth</v>
      </c>
    </row>
    <row r="222" spans="1:27" ht="12.95" customHeight="1">
      <c r="A222" s="402">
        <v>1977</v>
      </c>
      <c r="B222" s="402" t="s">
        <v>155</v>
      </c>
      <c r="C222" s="402" t="s">
        <v>1146</v>
      </c>
      <c r="D222" s="403">
        <v>35000</v>
      </c>
      <c r="E222" s="402" t="s">
        <v>1083</v>
      </c>
      <c r="F222" s="402">
        <v>201</v>
      </c>
      <c r="G222" s="404">
        <v>3</v>
      </c>
      <c r="H222" s="404">
        <v>4.0999999999999996</v>
      </c>
      <c r="I222" s="404">
        <v>5.4</v>
      </c>
      <c r="J222" s="404">
        <v>6.1</v>
      </c>
      <c r="K222" s="404">
        <v>4.0999999999999996</v>
      </c>
      <c r="L222" s="402" t="s">
        <v>1076</v>
      </c>
      <c r="M222" s="402" t="s">
        <v>1141</v>
      </c>
      <c r="N222" s="389">
        <f>AVERAGE(H222,I222,K222)</f>
        <v>4.5333333333333332</v>
      </c>
      <c r="O222" s="405">
        <v>1986</v>
      </c>
      <c r="P222" s="405">
        <v>1566</v>
      </c>
      <c r="Q222" s="405">
        <v>1398</v>
      </c>
      <c r="R222" s="405">
        <v>2387</v>
      </c>
      <c r="S222" s="405">
        <v>1277</v>
      </c>
      <c r="T222" s="405">
        <v>1299</v>
      </c>
      <c r="U222" s="405">
        <v>175</v>
      </c>
      <c r="V222" s="405">
        <v>175</v>
      </c>
      <c r="W222" s="405">
        <v>244</v>
      </c>
      <c r="X222" s="405">
        <v>203</v>
      </c>
      <c r="Y222" s="406">
        <f>S222-('FMTC Main'!$E$22-U222)</f>
        <v>1452</v>
      </c>
      <c r="Z222" s="406">
        <f>T222-('FMTC Main'!$E$27-V222)</f>
        <v>1474</v>
      </c>
      <c r="AA222" s="407" t="str">
        <f>A222&amp;" "&amp;B222&amp;" "&amp;C222</f>
        <v>1977 Ford Escort RS1800</v>
      </c>
    </row>
    <row r="223" spans="1:27" ht="12.95" customHeight="1">
      <c r="A223" s="402">
        <v>2011</v>
      </c>
      <c r="B223" s="402" t="s">
        <v>155</v>
      </c>
      <c r="C223" s="402" t="s">
        <v>1144</v>
      </c>
      <c r="D223" s="403">
        <v>42000</v>
      </c>
      <c r="E223" s="402" t="s">
        <v>1085</v>
      </c>
      <c r="F223" s="402">
        <v>280</v>
      </c>
      <c r="G223" s="404">
        <v>4.5</v>
      </c>
      <c r="H223" s="404">
        <v>3.4</v>
      </c>
      <c r="I223" s="404">
        <v>5.2</v>
      </c>
      <c r="J223" s="404">
        <v>5.8</v>
      </c>
      <c r="K223" s="404">
        <v>3.6</v>
      </c>
      <c r="L223" s="402" t="s">
        <v>1075</v>
      </c>
      <c r="M223" s="402" t="s">
        <v>1141</v>
      </c>
      <c r="N223" s="389">
        <f>AVERAGE(H223,I223,K223)</f>
        <v>4.0666666666666664</v>
      </c>
      <c r="O223" s="405">
        <v>6006</v>
      </c>
      <c r="P223" s="405">
        <v>2192</v>
      </c>
      <c r="Q223" s="405">
        <v>1994</v>
      </c>
      <c r="R223" s="405">
        <v>3378</v>
      </c>
      <c r="S223" s="405">
        <v>1869</v>
      </c>
      <c r="T223" s="405">
        <v>1869</v>
      </c>
      <c r="U223" s="405">
        <v>315</v>
      </c>
      <c r="V223" s="405">
        <v>315</v>
      </c>
      <c r="W223" s="405">
        <v>351</v>
      </c>
      <c r="X223" s="405">
        <v>348</v>
      </c>
      <c r="Y223" s="406">
        <f>S223-('FMTC Main'!$E$22-U223)</f>
        <v>2184</v>
      </c>
      <c r="Z223" s="406">
        <f>T223-('FMTC Main'!$E$27-V223)</f>
        <v>2184</v>
      </c>
      <c r="AA223" s="407" t="str">
        <f>A223&amp;" "&amp;B223&amp;" "&amp;C223</f>
        <v>2011 Ford F-150 SVT Raptor</v>
      </c>
    </row>
    <row r="224" spans="1:27" ht="12.95" customHeight="1">
      <c r="A224" s="394">
        <v>1964</v>
      </c>
      <c r="B224" s="394" t="s">
        <v>155</v>
      </c>
      <c r="C224" s="394" t="s">
        <v>864</v>
      </c>
      <c r="D224" s="395">
        <v>200000</v>
      </c>
      <c r="E224" s="394" t="s">
        <v>1087</v>
      </c>
      <c r="F224" s="394">
        <v>394</v>
      </c>
      <c r="G224" s="396">
        <v>3.2</v>
      </c>
      <c r="H224" s="396">
        <v>3.8</v>
      </c>
      <c r="I224" s="396">
        <v>7.7</v>
      </c>
      <c r="J224" s="396">
        <v>6.7</v>
      </c>
      <c r="K224" s="396">
        <v>3.9</v>
      </c>
      <c r="L224" s="394" t="s">
        <v>1075</v>
      </c>
      <c r="M224" s="394" t="s">
        <v>1100</v>
      </c>
      <c r="N224" s="389">
        <f>AVERAGE(H224,I224,K224)</f>
        <v>5.1333333333333337</v>
      </c>
      <c r="O224" s="397">
        <v>3225</v>
      </c>
      <c r="P224" s="398">
        <v>1869</v>
      </c>
      <c r="Q224" s="397">
        <v>1445</v>
      </c>
      <c r="R224" s="397">
        <v>2934</v>
      </c>
      <c r="S224" s="397">
        <v>1488</v>
      </c>
      <c r="T224" s="397">
        <v>1405</v>
      </c>
      <c r="U224" s="397">
        <v>205</v>
      </c>
      <c r="V224" s="397">
        <v>235</v>
      </c>
      <c r="W224" s="397">
        <v>254</v>
      </c>
      <c r="X224" s="397">
        <v>254</v>
      </c>
      <c r="Y224" s="399">
        <f>S224-('FMTC Main'!$E$22-U224)</f>
        <v>1693</v>
      </c>
      <c r="Z224" s="399">
        <f>T224-('FMTC Main'!$E$27-V224)</f>
        <v>1640</v>
      </c>
      <c r="AA224" s="400" t="str">
        <f>A224&amp;" "&amp;B224&amp;" "&amp;C224</f>
        <v>1964 Ford Fairlane Thunderbolt</v>
      </c>
    </row>
    <row r="225" spans="1:27" ht="12.95" customHeight="1">
      <c r="A225" s="394">
        <v>1973</v>
      </c>
      <c r="B225" s="394" t="s">
        <v>155</v>
      </c>
      <c r="C225" s="394" t="s">
        <v>868</v>
      </c>
      <c r="D225" s="395">
        <v>50000</v>
      </c>
      <c r="E225" s="394" t="s">
        <v>1085</v>
      </c>
      <c r="F225" s="394">
        <v>293</v>
      </c>
      <c r="G225" s="396">
        <v>4.5999999999999996</v>
      </c>
      <c r="H225" s="396">
        <v>3.7</v>
      </c>
      <c r="I225" s="396">
        <v>6.5</v>
      </c>
      <c r="J225" s="396">
        <v>5.8</v>
      </c>
      <c r="K225" s="396">
        <v>3.7</v>
      </c>
      <c r="L225" s="394" t="s">
        <v>1075</v>
      </c>
      <c r="M225" s="394"/>
      <c r="N225" s="389">
        <f>AVERAGE(H225,I225,K225)</f>
        <v>4.6333333333333329</v>
      </c>
      <c r="O225" s="397">
        <v>3047</v>
      </c>
      <c r="P225" s="398">
        <v>1969</v>
      </c>
      <c r="Q225" s="397">
        <v>1369</v>
      </c>
      <c r="R225" s="397">
        <v>2819</v>
      </c>
      <c r="S225" s="397">
        <v>1524</v>
      </c>
      <c r="T225" s="397">
        <v>1524</v>
      </c>
      <c r="U225" s="397">
        <v>205</v>
      </c>
      <c r="V225" s="397">
        <v>205</v>
      </c>
      <c r="W225" s="397">
        <v>286</v>
      </c>
      <c r="X225" s="397">
        <v>254</v>
      </c>
      <c r="Y225" s="399">
        <f>S225-('FMTC Main'!$E$22-U225)</f>
        <v>1729</v>
      </c>
      <c r="Z225" s="399">
        <f>T225-('FMTC Main'!$E$27-V225)</f>
        <v>1729</v>
      </c>
      <c r="AA225" s="400" t="str">
        <f>A225&amp;" "&amp;B225&amp;" "&amp;C225</f>
        <v>1973 Ford Falcon GT XB</v>
      </c>
    </row>
    <row r="226" spans="1:27" ht="12.95" customHeight="1">
      <c r="A226" s="394">
        <v>2009</v>
      </c>
      <c r="B226" s="394" t="s">
        <v>155</v>
      </c>
      <c r="C226" s="394" t="s">
        <v>157</v>
      </c>
      <c r="D226" s="395">
        <v>19000</v>
      </c>
      <c r="E226" s="394" t="s">
        <v>1083</v>
      </c>
      <c r="F226" s="394">
        <v>266</v>
      </c>
      <c r="G226" s="396">
        <v>3.2</v>
      </c>
      <c r="H226" s="396">
        <v>4.5999999999999996</v>
      </c>
      <c r="I226" s="396">
        <v>5.3</v>
      </c>
      <c r="J226" s="396">
        <v>5.6</v>
      </c>
      <c r="K226" s="396">
        <v>4.5</v>
      </c>
      <c r="L226" s="394" t="s">
        <v>1075</v>
      </c>
      <c r="M226" s="394"/>
      <c r="N226" s="389">
        <f>AVERAGE(H226,I226,K226)</f>
        <v>4.8</v>
      </c>
      <c r="O226" s="397">
        <v>2138</v>
      </c>
      <c r="P226" s="398">
        <v>1722</v>
      </c>
      <c r="Q226" s="397">
        <v>1481</v>
      </c>
      <c r="R226" s="397">
        <v>2489</v>
      </c>
      <c r="S226" s="397">
        <v>1491</v>
      </c>
      <c r="T226" s="397">
        <v>1478</v>
      </c>
      <c r="U226" s="397">
        <v>195</v>
      </c>
      <c r="V226" s="397">
        <v>195</v>
      </c>
      <c r="W226" s="397">
        <v>258</v>
      </c>
      <c r="X226" s="397">
        <v>203</v>
      </c>
      <c r="Y226" s="399">
        <f>S226-('FMTC Main'!$E$22-U226)</f>
        <v>1686</v>
      </c>
      <c r="Z226" s="399">
        <f>T226-('FMTC Main'!$E$27-V226)</f>
        <v>1673</v>
      </c>
      <c r="AA226" s="400" t="str">
        <f>A226&amp;" "&amp;B226&amp;" "&amp;C226</f>
        <v>2009 Ford Fiesta Zetec S</v>
      </c>
    </row>
    <row r="227" spans="1:27" ht="12.95" customHeight="1">
      <c r="A227" s="394">
        <v>2009</v>
      </c>
      <c r="B227" s="394" t="s">
        <v>155</v>
      </c>
      <c r="C227" s="394" t="s">
        <v>158</v>
      </c>
      <c r="D227" s="395">
        <v>38000</v>
      </c>
      <c r="E227" s="394" t="s">
        <v>1088</v>
      </c>
      <c r="F227" s="394">
        <v>468</v>
      </c>
      <c r="G227" s="396">
        <v>5.2</v>
      </c>
      <c r="H227" s="396">
        <v>4.9000000000000004</v>
      </c>
      <c r="I227" s="396">
        <v>7.1</v>
      </c>
      <c r="J227" s="396">
        <v>6.5</v>
      </c>
      <c r="K227" s="396">
        <v>4.8</v>
      </c>
      <c r="L227" s="394" t="s">
        <v>1075</v>
      </c>
      <c r="M227" s="394"/>
      <c r="N227" s="389">
        <f>AVERAGE(H227,I227,K227)</f>
        <v>5.6000000000000005</v>
      </c>
      <c r="O227" s="397">
        <v>3236</v>
      </c>
      <c r="P227" s="398">
        <v>1842</v>
      </c>
      <c r="Q227" s="397">
        <v>1484</v>
      </c>
      <c r="R227" s="397">
        <v>2640</v>
      </c>
      <c r="S227" s="397">
        <v>1586</v>
      </c>
      <c r="T227" s="397">
        <v>1587</v>
      </c>
      <c r="U227" s="397">
        <v>235</v>
      </c>
      <c r="V227" s="397">
        <v>235</v>
      </c>
      <c r="W227" s="397">
        <v>336</v>
      </c>
      <c r="X227" s="397">
        <v>302</v>
      </c>
      <c r="Y227" s="399">
        <f>S227-('FMTC Main'!$E$22-U227)</f>
        <v>1821</v>
      </c>
      <c r="Z227" s="399">
        <f>T227-('FMTC Main'!$E$27-V227)</f>
        <v>1822</v>
      </c>
      <c r="AA227" s="400" t="str">
        <f>A227&amp;" "&amp;B227&amp;" "&amp;C227</f>
        <v>2009 Ford Focus RS</v>
      </c>
    </row>
    <row r="228" spans="1:27" ht="12.95" customHeight="1">
      <c r="A228" s="394">
        <v>2006</v>
      </c>
      <c r="B228" s="394" t="s">
        <v>155</v>
      </c>
      <c r="C228" s="394" t="s">
        <v>159</v>
      </c>
      <c r="D228" s="395">
        <v>14000</v>
      </c>
      <c r="E228" s="394" t="s">
        <v>1087</v>
      </c>
      <c r="F228" s="394">
        <v>365</v>
      </c>
      <c r="G228" s="396">
        <v>4.9000000000000004</v>
      </c>
      <c r="H228" s="396">
        <v>4.4000000000000004</v>
      </c>
      <c r="I228" s="396">
        <v>6</v>
      </c>
      <c r="J228" s="396">
        <v>6.3</v>
      </c>
      <c r="K228" s="396">
        <v>4.3</v>
      </c>
      <c r="L228" s="394" t="s">
        <v>1075</v>
      </c>
      <c r="M228" s="394"/>
      <c r="N228" s="389">
        <f>AVERAGE(H228,I228,K228)</f>
        <v>4.8999999999999995</v>
      </c>
      <c r="O228" s="397">
        <v>3069</v>
      </c>
      <c r="P228" s="397">
        <v>1839</v>
      </c>
      <c r="Q228" s="397">
        <v>1496</v>
      </c>
      <c r="R228" s="397">
        <v>2639</v>
      </c>
      <c r="S228" s="397">
        <v>1534</v>
      </c>
      <c r="T228" s="397">
        <v>1532</v>
      </c>
      <c r="U228" s="397">
        <v>225</v>
      </c>
      <c r="V228" s="397">
        <v>225</v>
      </c>
      <c r="W228" s="397">
        <v>320</v>
      </c>
      <c r="X228" s="397">
        <v>280</v>
      </c>
      <c r="Y228" s="399">
        <f>S228-('FMTC Main'!$E$22-U228)</f>
        <v>1759</v>
      </c>
      <c r="Z228" s="399">
        <f>T228-('FMTC Main'!$E$27-V228)</f>
        <v>1757</v>
      </c>
      <c r="AA228" s="400" t="str">
        <f>A228&amp;" "&amp;B228&amp;" "&amp;C228</f>
        <v>2006 Ford Focus ST</v>
      </c>
    </row>
    <row r="229" spans="1:27" ht="12.95" customHeight="1">
      <c r="A229" s="402">
        <v>2013</v>
      </c>
      <c r="B229" s="402" t="s">
        <v>155</v>
      </c>
      <c r="C229" s="402" t="s">
        <v>1134</v>
      </c>
      <c r="D229" s="403">
        <v>32000</v>
      </c>
      <c r="E229" s="402" t="s">
        <v>1088</v>
      </c>
      <c r="F229" s="402">
        <v>439</v>
      </c>
      <c r="G229" s="404">
        <v>5.2</v>
      </c>
      <c r="H229" s="404">
        <v>4.9000000000000004</v>
      </c>
      <c r="I229" s="404">
        <v>6.5</v>
      </c>
      <c r="J229" s="404">
        <v>6.4</v>
      </c>
      <c r="K229" s="404">
        <v>4.8</v>
      </c>
      <c r="L229" s="402" t="s">
        <v>1075</v>
      </c>
      <c r="M229" s="394"/>
      <c r="N229" s="389">
        <f>AVERAGE(H229,I229,K229)</f>
        <v>5.3999999999999995</v>
      </c>
      <c r="O229" s="405">
        <v>2976</v>
      </c>
      <c r="P229" s="405">
        <v>1824</v>
      </c>
      <c r="Q229" s="405">
        <v>1466</v>
      </c>
      <c r="R229" s="405">
        <v>2649</v>
      </c>
      <c r="S229" s="405">
        <v>1555</v>
      </c>
      <c r="T229" s="405">
        <v>1534</v>
      </c>
      <c r="U229" s="405">
        <v>235</v>
      </c>
      <c r="V229" s="405">
        <v>235</v>
      </c>
      <c r="W229" s="405">
        <v>320</v>
      </c>
      <c r="X229" s="405">
        <v>271</v>
      </c>
      <c r="Y229" s="406">
        <f>S229-('FMTC Main'!$E$22-U229)</f>
        <v>1790</v>
      </c>
      <c r="Z229" s="406">
        <f>T229-('FMTC Main'!$E$27-V229)</f>
        <v>1769</v>
      </c>
      <c r="AA229" s="407" t="str">
        <f>A229&amp;" "&amp;B229&amp;" "&amp;C229</f>
        <v xml:space="preserve">2013 Ford Focus ST </v>
      </c>
    </row>
    <row r="230" spans="1:27" ht="12.95" customHeight="1">
      <c r="A230" s="394">
        <v>2010</v>
      </c>
      <c r="B230" s="394" t="s">
        <v>155</v>
      </c>
      <c r="C230" s="394" t="s">
        <v>692</v>
      </c>
      <c r="D230" s="395">
        <v>28000</v>
      </c>
      <c r="E230" s="394" t="s">
        <v>1087</v>
      </c>
      <c r="F230" s="394">
        <v>372</v>
      </c>
      <c r="G230" s="396">
        <v>5.7</v>
      </c>
      <c r="H230" s="396">
        <v>4.5999999999999996</v>
      </c>
      <c r="I230" s="396">
        <v>5.6</v>
      </c>
      <c r="J230" s="396">
        <v>6.1</v>
      </c>
      <c r="K230" s="396">
        <v>4.4000000000000004</v>
      </c>
      <c r="L230" s="394" t="s">
        <v>1075</v>
      </c>
      <c r="M230" s="394"/>
      <c r="N230" s="389">
        <f>AVERAGE(H230,I230,K230)</f>
        <v>4.8666666666666663</v>
      </c>
      <c r="O230" s="397">
        <v>3803</v>
      </c>
      <c r="P230" s="398">
        <v>1834</v>
      </c>
      <c r="Q230" s="397">
        <v>1445</v>
      </c>
      <c r="R230" s="397">
        <v>2728</v>
      </c>
      <c r="S230" s="397">
        <v>1567</v>
      </c>
      <c r="T230" s="397">
        <v>1557</v>
      </c>
      <c r="U230" s="397">
        <v>225</v>
      </c>
      <c r="V230" s="397">
        <v>225</v>
      </c>
      <c r="W230" s="397">
        <v>299</v>
      </c>
      <c r="X230" s="397">
        <v>279</v>
      </c>
      <c r="Y230" s="399">
        <f>S230-('FMTC Main'!$E$22-U230)</f>
        <v>1792</v>
      </c>
      <c r="Z230" s="399">
        <f>T230-('FMTC Main'!$E$27-V230)</f>
        <v>1782</v>
      </c>
      <c r="AA230" s="400" t="str">
        <f>A230&amp;" "&amp;B230&amp;" "&amp;C230</f>
        <v>2010 Ford Fusion Sport</v>
      </c>
    </row>
    <row r="231" spans="1:27" ht="12.95" customHeight="1">
      <c r="A231" s="394">
        <v>1976</v>
      </c>
      <c r="B231" s="394" t="s">
        <v>155</v>
      </c>
      <c r="C231" s="394" t="s">
        <v>869</v>
      </c>
      <c r="D231" s="395"/>
      <c r="E231" s="394"/>
      <c r="F231" s="394"/>
      <c r="G231" s="396"/>
      <c r="H231" s="396"/>
      <c r="I231" s="396"/>
      <c r="J231" s="396"/>
      <c r="K231" s="396"/>
      <c r="L231" s="394" t="s">
        <v>1075</v>
      </c>
      <c r="M231" s="394"/>
      <c r="N231" s="389" t="e">
        <f>AVERAGE(H231,I231,K231)</f>
        <v>#DIV/0!</v>
      </c>
      <c r="O231" s="397">
        <v>3976</v>
      </c>
      <c r="P231" s="398">
        <v>2014</v>
      </c>
      <c r="Q231" s="397">
        <v>1336</v>
      </c>
      <c r="R231" s="397">
        <v>2896</v>
      </c>
      <c r="S231" s="397">
        <v>1610</v>
      </c>
      <c r="T231" s="397">
        <v>1613</v>
      </c>
      <c r="U231" s="397">
        <v>215</v>
      </c>
      <c r="V231" s="397">
        <v>215</v>
      </c>
      <c r="W231" s="397">
        <v>272</v>
      </c>
      <c r="X231" s="397">
        <v>279</v>
      </c>
      <c r="Y231" s="399">
        <f>S231-('FMTC Main'!$E$22-U231)</f>
        <v>1825</v>
      </c>
      <c r="Z231" s="399">
        <f>T231-('FMTC Main'!$E$27-V231)</f>
        <v>1828</v>
      </c>
      <c r="AA231" s="400" t="str">
        <f>A231&amp;" "&amp;B231&amp;" "&amp;C231</f>
        <v>1976 Ford Gran Torino</v>
      </c>
    </row>
    <row r="232" spans="1:27" ht="12.95" customHeight="1">
      <c r="A232" s="394">
        <v>2005</v>
      </c>
      <c r="B232" s="394" t="s">
        <v>155</v>
      </c>
      <c r="C232" s="394" t="s">
        <v>1001</v>
      </c>
      <c r="D232" s="395">
        <v>150000</v>
      </c>
      <c r="E232" s="394" t="s">
        <v>349</v>
      </c>
      <c r="F232" s="394">
        <v>578</v>
      </c>
      <c r="G232" s="396">
        <v>8.9</v>
      </c>
      <c r="H232" s="396">
        <v>5.6</v>
      </c>
      <c r="I232" s="396">
        <v>8.1</v>
      </c>
      <c r="J232" s="396">
        <v>6.9</v>
      </c>
      <c r="K232" s="396">
        <v>5.5</v>
      </c>
      <c r="L232" s="394" t="s">
        <v>1075</v>
      </c>
      <c r="M232" s="394"/>
      <c r="N232" s="389">
        <f>AVERAGE(H232,I232,K232)</f>
        <v>6.3999999999999995</v>
      </c>
      <c r="O232" s="397">
        <v>3390</v>
      </c>
      <c r="P232" s="397">
        <v>1953</v>
      </c>
      <c r="Q232" s="397">
        <v>1125</v>
      </c>
      <c r="R232" s="397">
        <v>2710</v>
      </c>
      <c r="S232" s="397">
        <v>1600</v>
      </c>
      <c r="T232" s="397">
        <v>1618</v>
      </c>
      <c r="U232" s="397">
        <v>235</v>
      </c>
      <c r="V232" s="397">
        <v>315</v>
      </c>
      <c r="W232" s="397">
        <v>355</v>
      </c>
      <c r="X232" s="397">
        <v>335</v>
      </c>
      <c r="Y232" s="399">
        <f>S232-('FMTC Main'!$E$22-U232)</f>
        <v>1835</v>
      </c>
      <c r="Z232" s="399">
        <f>T232-('FMTC Main'!$E$27-V232)</f>
        <v>1933</v>
      </c>
      <c r="AA232" s="400" t="str">
        <f>A232&amp;" "&amp;B232&amp;" "&amp;C232</f>
        <v>2005 Ford GT</v>
      </c>
    </row>
    <row r="233" spans="1:27" ht="12.95" customHeight="1">
      <c r="A233" s="394">
        <v>1966</v>
      </c>
      <c r="B233" s="394" t="s">
        <v>155</v>
      </c>
      <c r="C233" s="394" t="s">
        <v>866</v>
      </c>
      <c r="D233" s="395">
        <v>1500000</v>
      </c>
      <c r="E233" s="394" t="s">
        <v>349</v>
      </c>
      <c r="F233" s="394">
        <v>562</v>
      </c>
      <c r="G233" s="396">
        <v>7.2</v>
      </c>
      <c r="H233" s="396">
        <v>5.0999999999999996</v>
      </c>
      <c r="I233" s="396">
        <v>8</v>
      </c>
      <c r="J233" s="396">
        <v>6.2</v>
      </c>
      <c r="K233" s="396">
        <v>5.0999999999999996</v>
      </c>
      <c r="L233" s="394" t="s">
        <v>1075</v>
      </c>
      <c r="M233" s="394"/>
      <c r="N233" s="389">
        <f>AVERAGE(H233,I233,K233)</f>
        <v>6.0666666666666664</v>
      </c>
      <c r="O233" s="397">
        <v>2682</v>
      </c>
      <c r="P233" s="398">
        <v>1778</v>
      </c>
      <c r="Q233" s="397">
        <v>1029</v>
      </c>
      <c r="R233" s="397">
        <v>2413</v>
      </c>
      <c r="S233" s="397">
        <v>1448</v>
      </c>
      <c r="T233" s="397">
        <v>1422</v>
      </c>
      <c r="U233" s="397">
        <v>250</v>
      </c>
      <c r="V233" s="397">
        <v>300</v>
      </c>
      <c r="W233" s="397">
        <v>292</v>
      </c>
      <c r="X233" s="397">
        <v>292</v>
      </c>
      <c r="Y233" s="399">
        <f>S233-('FMTC Main'!$E$22-U233)</f>
        <v>1698</v>
      </c>
      <c r="Z233" s="399">
        <f>T233-('FMTC Main'!$E$27-V233)</f>
        <v>1722</v>
      </c>
      <c r="AA233" s="400" t="str">
        <f>A233&amp;" "&amp;B233&amp;" "&amp;C233</f>
        <v>1966 Ford GT40 MK II</v>
      </c>
    </row>
    <row r="234" spans="1:27" ht="12.95" customHeight="1">
      <c r="A234" s="394">
        <v>2011</v>
      </c>
      <c r="B234" s="394" t="s">
        <v>155</v>
      </c>
      <c r="C234" s="394" t="s">
        <v>880</v>
      </c>
      <c r="D234" s="395">
        <v>10000</v>
      </c>
      <c r="E234" s="394" t="s">
        <v>1099</v>
      </c>
      <c r="F234" s="394">
        <v>100</v>
      </c>
      <c r="G234" s="396">
        <v>3</v>
      </c>
      <c r="H234" s="396">
        <v>4.4000000000000004</v>
      </c>
      <c r="I234" s="396">
        <v>3</v>
      </c>
      <c r="J234" s="396">
        <v>3.2</v>
      </c>
      <c r="K234" s="396">
        <v>4.4000000000000004</v>
      </c>
      <c r="L234" s="394" t="s">
        <v>1075</v>
      </c>
      <c r="M234" s="394"/>
      <c r="N234" s="389">
        <f>AVERAGE(H234,I234,K234)</f>
        <v>3.9333333333333336</v>
      </c>
      <c r="O234" s="397">
        <v>2072</v>
      </c>
      <c r="P234" s="398">
        <v>1894</v>
      </c>
      <c r="Q234" s="397">
        <v>1505</v>
      </c>
      <c r="R234" s="397">
        <v>2301</v>
      </c>
      <c r="S234" s="397">
        <v>1409</v>
      </c>
      <c r="T234" s="397">
        <v>1397</v>
      </c>
      <c r="U234" s="397">
        <v>195</v>
      </c>
      <c r="V234" s="397">
        <v>195</v>
      </c>
      <c r="W234" s="397">
        <v>240</v>
      </c>
      <c r="X234" s="397">
        <v>203</v>
      </c>
      <c r="Y234" s="399">
        <f>S234-('FMTC Main'!$E$22-U234)</f>
        <v>1604</v>
      </c>
      <c r="Z234" s="399">
        <f>T234-('FMTC Main'!$E$27-V234)</f>
        <v>1592</v>
      </c>
      <c r="AA234" s="400" t="str">
        <f>A234&amp;" "&amp;B234&amp;" "&amp;C234</f>
        <v>2011 Ford Ka</v>
      </c>
    </row>
    <row r="235" spans="1:27" ht="12.95" customHeight="1">
      <c r="A235" s="394">
        <v>1970</v>
      </c>
      <c r="B235" s="394" t="s">
        <v>155</v>
      </c>
      <c r="C235" s="394" t="s">
        <v>160</v>
      </c>
      <c r="D235" s="395">
        <v>120000</v>
      </c>
      <c r="E235" s="394" t="s">
        <v>1085</v>
      </c>
      <c r="F235" s="394">
        <v>321</v>
      </c>
      <c r="G235" s="396">
        <v>4.7</v>
      </c>
      <c r="H235" s="396">
        <v>3.8</v>
      </c>
      <c r="I235" s="396">
        <v>6.8</v>
      </c>
      <c r="J235" s="396">
        <v>5.8</v>
      </c>
      <c r="K235" s="396">
        <v>3.7</v>
      </c>
      <c r="L235" s="394" t="s">
        <v>1075</v>
      </c>
      <c r="M235" s="394"/>
      <c r="N235" s="389">
        <f>AVERAGE(H235,I235,K235)</f>
        <v>4.7666666666666666</v>
      </c>
      <c r="O235" s="397">
        <v>3715</v>
      </c>
      <c r="P235" s="398">
        <v>1882</v>
      </c>
      <c r="Q235" s="397">
        <v>1288</v>
      </c>
      <c r="R235" s="397">
        <v>2769</v>
      </c>
      <c r="S235" s="397">
        <v>1562</v>
      </c>
      <c r="T235" s="397">
        <v>1549</v>
      </c>
      <c r="U235" s="397">
        <v>235</v>
      </c>
      <c r="V235" s="397">
        <v>235</v>
      </c>
      <c r="W235" s="397">
        <v>287</v>
      </c>
      <c r="X235" s="397">
        <v>254</v>
      </c>
      <c r="Y235" s="399">
        <f>S235-('FMTC Main'!$E$22-U235)</f>
        <v>1797</v>
      </c>
      <c r="Z235" s="399">
        <f>T235-('FMTC Main'!$E$27-V235)</f>
        <v>1784</v>
      </c>
      <c r="AA235" s="400" t="str">
        <f>A235&amp;" "&amp;B235&amp;" "&amp;C235</f>
        <v>1970 Ford Mustang Boss 429</v>
      </c>
    </row>
    <row r="236" spans="1:27" ht="12.95" customHeight="1">
      <c r="A236" s="394">
        <v>2000</v>
      </c>
      <c r="B236" s="394" t="s">
        <v>155</v>
      </c>
      <c r="C236" s="394" t="s">
        <v>161</v>
      </c>
      <c r="D236" s="395">
        <v>40000</v>
      </c>
      <c r="E236" s="394" t="s">
        <v>1088</v>
      </c>
      <c r="F236" s="394">
        <v>494</v>
      </c>
      <c r="G236" s="396">
        <v>7.1</v>
      </c>
      <c r="H236" s="396">
        <v>5.2</v>
      </c>
      <c r="I236" s="396">
        <v>7.4</v>
      </c>
      <c r="J236" s="396">
        <v>6.7</v>
      </c>
      <c r="K236" s="396">
        <v>5.0999999999999996</v>
      </c>
      <c r="L236" s="394" t="s">
        <v>1075</v>
      </c>
      <c r="M236" s="394"/>
      <c r="N236" s="389">
        <f>AVERAGE(H236,I236,K236)</f>
        <v>5.9000000000000012</v>
      </c>
      <c r="O236" s="397">
        <v>3589</v>
      </c>
      <c r="P236" s="398">
        <v>1857</v>
      </c>
      <c r="Q236" s="397">
        <v>1320</v>
      </c>
      <c r="R236" s="397">
        <v>2573</v>
      </c>
      <c r="S236" s="397">
        <v>1524</v>
      </c>
      <c r="T236" s="397">
        <v>1524</v>
      </c>
      <c r="U236" s="397">
        <v>265</v>
      </c>
      <c r="V236" s="397">
        <v>265</v>
      </c>
      <c r="W236" s="397">
        <v>330</v>
      </c>
      <c r="X236" s="397">
        <v>296</v>
      </c>
      <c r="Y236" s="399">
        <f>S236-('FMTC Main'!$E$22-U236)</f>
        <v>1789</v>
      </c>
      <c r="Z236" s="399">
        <f>T236-('FMTC Main'!$E$27-V236)</f>
        <v>1789</v>
      </c>
      <c r="AA236" s="400" t="str">
        <f>A236&amp;" "&amp;B236&amp;" "&amp;C236</f>
        <v>2000 Ford Mustang Cobra R</v>
      </c>
    </row>
    <row r="237" spans="1:27" ht="12.95" customHeight="1">
      <c r="A237" s="394">
        <v>2005</v>
      </c>
      <c r="B237" s="394" t="s">
        <v>155</v>
      </c>
      <c r="C237" s="394" t="s">
        <v>333</v>
      </c>
      <c r="D237" s="395">
        <v>18000</v>
      </c>
      <c r="E237" s="394" t="s">
        <v>1087</v>
      </c>
      <c r="F237" s="394">
        <v>372</v>
      </c>
      <c r="G237" s="396">
        <v>5.7</v>
      </c>
      <c r="H237" s="396">
        <v>4.4000000000000004</v>
      </c>
      <c r="I237" s="396">
        <v>6.5</v>
      </c>
      <c r="J237" s="396">
        <v>6.6</v>
      </c>
      <c r="K237" s="396">
        <v>4.3</v>
      </c>
      <c r="L237" s="394" t="s">
        <v>1075</v>
      </c>
      <c r="M237" s="394"/>
      <c r="N237" s="389">
        <f>AVERAGE(H237,I237,K237)</f>
        <v>5.0666666666666664</v>
      </c>
      <c r="O237" s="397">
        <v>3510</v>
      </c>
      <c r="P237" s="397">
        <v>1877</v>
      </c>
      <c r="Q237" s="397">
        <v>1407</v>
      </c>
      <c r="R237" s="397">
        <v>2720</v>
      </c>
      <c r="S237" s="397">
        <v>1572</v>
      </c>
      <c r="T237" s="397">
        <v>1587</v>
      </c>
      <c r="U237" s="397">
        <v>235</v>
      </c>
      <c r="V237" s="397">
        <v>235</v>
      </c>
      <c r="W237" s="397">
        <v>316</v>
      </c>
      <c r="X237" s="397">
        <v>300</v>
      </c>
      <c r="Y237" s="399">
        <f>S237-('FMTC Main'!$E$22-U237)</f>
        <v>1807</v>
      </c>
      <c r="Z237" s="399">
        <f>T237-('FMTC Main'!$E$27-V237)</f>
        <v>1822</v>
      </c>
      <c r="AA237" s="400" t="str">
        <f>A237&amp;" "&amp;B237&amp;" "&amp;C237</f>
        <v>2005 Ford Mustang GT</v>
      </c>
    </row>
    <row r="238" spans="1:27" ht="12.95" customHeight="1">
      <c r="A238" s="394">
        <v>1965</v>
      </c>
      <c r="B238" s="394" t="s">
        <v>155</v>
      </c>
      <c r="C238" s="394" t="s">
        <v>865</v>
      </c>
      <c r="D238" s="395">
        <v>26000</v>
      </c>
      <c r="E238" s="394" t="s">
        <v>1085</v>
      </c>
      <c r="F238" s="394">
        <v>285</v>
      </c>
      <c r="G238" s="396">
        <v>4.2</v>
      </c>
      <c r="H238" s="396">
        <v>3.4</v>
      </c>
      <c r="I238" s="396">
        <v>6.8</v>
      </c>
      <c r="J238" s="396">
        <v>6.1</v>
      </c>
      <c r="K238" s="396">
        <v>3.4</v>
      </c>
      <c r="L238" s="394" t="s">
        <v>1075</v>
      </c>
      <c r="M238" s="394" t="s">
        <v>1109</v>
      </c>
      <c r="N238" s="389">
        <f>AVERAGE(H238,I238,K238)</f>
        <v>4.5333333333333332</v>
      </c>
      <c r="O238" s="397">
        <v>2562</v>
      </c>
      <c r="P238" s="398">
        <v>1732</v>
      </c>
      <c r="Q238" s="397">
        <v>1298</v>
      </c>
      <c r="R238" s="397">
        <v>2743</v>
      </c>
      <c r="S238" s="397">
        <v>1422</v>
      </c>
      <c r="T238" s="397">
        <v>1422</v>
      </c>
      <c r="U238" s="397">
        <v>195</v>
      </c>
      <c r="V238" s="397">
        <v>195</v>
      </c>
      <c r="W238" s="397">
        <v>254</v>
      </c>
      <c r="X238" s="397">
        <v>254</v>
      </c>
      <c r="Y238" s="399">
        <f>S238-('FMTC Main'!$E$22-U238)</f>
        <v>1617</v>
      </c>
      <c r="Z238" s="399">
        <f>T238-('FMTC Main'!$E$27-V238)</f>
        <v>1617</v>
      </c>
      <c r="AA238" s="400" t="str">
        <f>A238&amp;" "&amp;B238&amp;" "&amp;C238</f>
        <v>1965 Ford Mustang GT Coupe</v>
      </c>
    </row>
    <row r="239" spans="1:27" ht="12.95" customHeight="1">
      <c r="A239" s="394">
        <v>1978</v>
      </c>
      <c r="B239" s="394" t="s">
        <v>155</v>
      </c>
      <c r="C239" s="394" t="s">
        <v>870</v>
      </c>
      <c r="D239" s="395">
        <v>5000</v>
      </c>
      <c r="E239" s="394" t="s">
        <v>1099</v>
      </c>
      <c r="F239" s="394">
        <v>174</v>
      </c>
      <c r="G239" s="396">
        <v>3.1</v>
      </c>
      <c r="H239" s="396">
        <v>4.0999999999999996</v>
      </c>
      <c r="I239" s="396">
        <v>4.9000000000000004</v>
      </c>
      <c r="J239" s="396">
        <v>5.3</v>
      </c>
      <c r="K239" s="396">
        <v>4</v>
      </c>
      <c r="L239" s="394" t="s">
        <v>1075</v>
      </c>
      <c r="M239" s="394"/>
      <c r="N239" s="389">
        <f>AVERAGE(H239,I239,K239)</f>
        <v>4.333333333333333</v>
      </c>
      <c r="O239" s="397">
        <v>2669</v>
      </c>
      <c r="P239" s="398">
        <v>1783</v>
      </c>
      <c r="Q239" s="397">
        <v>1278</v>
      </c>
      <c r="R239" s="397">
        <v>2443</v>
      </c>
      <c r="S239" s="397">
        <v>1412</v>
      </c>
      <c r="T239" s="397">
        <v>1417</v>
      </c>
      <c r="U239" s="397">
        <v>195</v>
      </c>
      <c r="V239" s="397">
        <v>195</v>
      </c>
      <c r="W239" s="397">
        <v>236</v>
      </c>
      <c r="X239" s="397">
        <v>229</v>
      </c>
      <c r="Y239" s="399">
        <f>S239-('FMTC Main'!$E$22-U239)</f>
        <v>1607</v>
      </c>
      <c r="Z239" s="399">
        <f>T239-('FMTC Main'!$E$27-V239)</f>
        <v>1612</v>
      </c>
      <c r="AA239" s="400" t="str">
        <f>A239&amp;" "&amp;B239&amp;" "&amp;C239</f>
        <v>1978 Ford Mustang King Cobra</v>
      </c>
    </row>
    <row r="240" spans="1:27" ht="12.95" customHeight="1">
      <c r="A240" s="394">
        <v>1971</v>
      </c>
      <c r="B240" s="394" t="s">
        <v>155</v>
      </c>
      <c r="C240" s="394" t="s">
        <v>867</v>
      </c>
      <c r="D240" s="395">
        <v>40000</v>
      </c>
      <c r="E240" s="394" t="s">
        <v>1085</v>
      </c>
      <c r="F240" s="394">
        <v>330</v>
      </c>
      <c r="G240" s="396">
        <v>3.7</v>
      </c>
      <c r="H240" s="396">
        <v>3.7</v>
      </c>
      <c r="I240" s="396">
        <v>6.8</v>
      </c>
      <c r="J240" s="396">
        <v>5.7</v>
      </c>
      <c r="K240" s="396">
        <v>3.6</v>
      </c>
      <c r="L240" s="394" t="s">
        <v>1075</v>
      </c>
      <c r="M240" s="394"/>
      <c r="N240" s="389">
        <f>AVERAGE(H240,I240,K240)</f>
        <v>4.7</v>
      </c>
      <c r="O240" s="397">
        <v>3711</v>
      </c>
      <c r="P240" s="398">
        <v>1882</v>
      </c>
      <c r="Q240" s="397">
        <v>1273</v>
      </c>
      <c r="R240" s="397">
        <v>2769</v>
      </c>
      <c r="S240" s="397">
        <v>1562</v>
      </c>
      <c r="T240" s="397">
        <v>1549</v>
      </c>
      <c r="U240" s="397">
        <v>225</v>
      </c>
      <c r="V240" s="397">
        <v>225</v>
      </c>
      <c r="W240" s="397">
        <v>287</v>
      </c>
      <c r="X240" s="397">
        <v>254</v>
      </c>
      <c r="Y240" s="399">
        <f>S240-('FMTC Main'!$E$22-U240)</f>
        <v>1787</v>
      </c>
      <c r="Z240" s="399">
        <f>T240-('FMTC Main'!$E$27-V240)</f>
        <v>1774</v>
      </c>
      <c r="AA240" s="400" t="str">
        <f>A240&amp;" "&amp;B240&amp;" "&amp;C240</f>
        <v>1971 Ford Mustang Mach 1</v>
      </c>
    </row>
    <row r="241" spans="1:27" ht="12.95" customHeight="1">
      <c r="A241" s="402">
        <v>1973</v>
      </c>
      <c r="B241" s="402" t="s">
        <v>155</v>
      </c>
      <c r="C241" s="402" t="s">
        <v>1162</v>
      </c>
      <c r="D241" s="403">
        <v>5000</v>
      </c>
      <c r="E241" s="402" t="s">
        <v>1099</v>
      </c>
      <c r="F241" s="402">
        <v>100</v>
      </c>
      <c r="G241" s="404">
        <v>3</v>
      </c>
      <c r="H241" s="404">
        <v>4</v>
      </c>
      <c r="I241" s="404">
        <v>3.6</v>
      </c>
      <c r="J241" s="404">
        <v>4</v>
      </c>
      <c r="K241" s="404">
        <v>4.0999999999999996</v>
      </c>
      <c r="L241" s="402" t="s">
        <v>1075</v>
      </c>
      <c r="M241" s="402" t="s">
        <v>1154</v>
      </c>
      <c r="N241" s="389">
        <f>AVERAGE(H241,I241,K241)</f>
        <v>3.9</v>
      </c>
      <c r="O241" s="405">
        <v>2254</v>
      </c>
      <c r="P241" s="405">
        <v>1763</v>
      </c>
      <c r="Q241" s="405">
        <v>1260</v>
      </c>
      <c r="R241" s="405">
        <v>2388</v>
      </c>
      <c r="S241" s="405">
        <v>1397</v>
      </c>
      <c r="T241" s="405">
        <v>1397</v>
      </c>
      <c r="U241" s="405">
        <v>185</v>
      </c>
      <c r="V241" s="405">
        <v>185</v>
      </c>
      <c r="W241" s="405">
        <v>236</v>
      </c>
      <c r="X241" s="405">
        <v>229</v>
      </c>
      <c r="Y241" s="406">
        <f>S241-('FMTC Main'!$E$22-U241)</f>
        <v>1582</v>
      </c>
      <c r="Z241" s="406">
        <f>T241-('FMTC Main'!$E$27-V241)</f>
        <v>1582</v>
      </c>
      <c r="AA241" s="407" t="str">
        <f>A241&amp;" "&amp;B241&amp;" "&amp;C241</f>
        <v>1973 Ford Pinto</v>
      </c>
    </row>
    <row r="242" spans="1:27" ht="12.95" customHeight="1">
      <c r="A242" s="394">
        <v>1985</v>
      </c>
      <c r="B242" s="394" t="s">
        <v>155</v>
      </c>
      <c r="C242" s="394" t="s">
        <v>162</v>
      </c>
      <c r="D242" s="395">
        <v>120000</v>
      </c>
      <c r="E242" s="394" t="s">
        <v>1092</v>
      </c>
      <c r="F242" s="394">
        <v>660</v>
      </c>
      <c r="G242" s="396">
        <v>4.8</v>
      </c>
      <c r="H242" s="396">
        <v>5.8</v>
      </c>
      <c r="I242" s="396">
        <v>9</v>
      </c>
      <c r="J242" s="396">
        <v>9</v>
      </c>
      <c r="K242" s="396">
        <v>5.8</v>
      </c>
      <c r="L242" s="394" t="s">
        <v>1075</v>
      </c>
      <c r="M242" s="394"/>
      <c r="N242" s="389">
        <f>AVERAGE(H242,I242,K242)</f>
        <v>6.8666666666666671</v>
      </c>
      <c r="O242" s="397">
        <v>2464</v>
      </c>
      <c r="P242" s="398">
        <v>1763</v>
      </c>
      <c r="Q242" s="397">
        <v>1321</v>
      </c>
      <c r="R242" s="397">
        <v>2530</v>
      </c>
      <c r="S242" s="397">
        <v>1501</v>
      </c>
      <c r="T242" s="397">
        <v>1496</v>
      </c>
      <c r="U242" s="397">
        <v>245</v>
      </c>
      <c r="V242" s="397">
        <v>245</v>
      </c>
      <c r="W242" s="397">
        <v>284</v>
      </c>
      <c r="X242" s="397">
        <v>284</v>
      </c>
      <c r="Y242" s="399">
        <f>S242-('FMTC Main'!$E$22-U242)</f>
        <v>1746</v>
      </c>
      <c r="Z242" s="399">
        <f>T242-('FMTC Main'!$E$27-V242)</f>
        <v>1741</v>
      </c>
      <c r="AA242" s="400" t="str">
        <f>A242&amp;" "&amp;B242&amp;" "&amp;C242</f>
        <v>1985 Ford RS200 Evolution</v>
      </c>
    </row>
    <row r="243" spans="1:27" ht="12.95" customHeight="1">
      <c r="A243" s="394">
        <v>2007</v>
      </c>
      <c r="B243" s="394" t="s">
        <v>155</v>
      </c>
      <c r="C243" s="394" t="s">
        <v>262</v>
      </c>
      <c r="D243" s="395"/>
      <c r="E243" s="394" t="s">
        <v>1088</v>
      </c>
      <c r="F243" s="394">
        <v>477</v>
      </c>
      <c r="G243" s="396">
        <v>7</v>
      </c>
      <c r="H243" s="396">
        <v>4.8</v>
      </c>
      <c r="I243" s="396">
        <v>7.3</v>
      </c>
      <c r="J243" s="396">
        <v>6.6</v>
      </c>
      <c r="K243" s="396">
        <v>4.7</v>
      </c>
      <c r="L243" s="394" t="s">
        <v>1075</v>
      </c>
      <c r="M243" s="394" t="s">
        <v>1096</v>
      </c>
      <c r="N243" s="389">
        <f>AVERAGE(H243,I243,K243)</f>
        <v>5.6000000000000005</v>
      </c>
      <c r="O243" s="397">
        <v>3896</v>
      </c>
      <c r="P243" s="398">
        <v>1877</v>
      </c>
      <c r="Q243" s="397">
        <v>1384.3</v>
      </c>
      <c r="R243" s="397">
        <v>2720</v>
      </c>
      <c r="S243" s="397">
        <v>1572</v>
      </c>
      <c r="T243" s="397">
        <v>1587.5</v>
      </c>
      <c r="U243" s="397">
        <v>255</v>
      </c>
      <c r="V243" s="397">
        <v>285</v>
      </c>
      <c r="W243" s="397">
        <v>355</v>
      </c>
      <c r="X243" s="397">
        <v>300</v>
      </c>
      <c r="Y243" s="399">
        <f>S243-('FMTC Main'!$E$22-U243)</f>
        <v>1827</v>
      </c>
      <c r="Z243" s="399">
        <f>T243-('FMTC Main'!$E$27-V243)</f>
        <v>1872.5</v>
      </c>
      <c r="AA243" s="400" t="str">
        <f>A243&amp;" "&amp;B243&amp;" "&amp;C243</f>
        <v>2007 Ford Shelby GT500</v>
      </c>
    </row>
    <row r="244" spans="1:27" ht="12.95" customHeight="1">
      <c r="A244" s="394">
        <v>2010</v>
      </c>
      <c r="B244" s="394" t="s">
        <v>155</v>
      </c>
      <c r="C244" s="394" t="s">
        <v>262</v>
      </c>
      <c r="D244" s="395">
        <v>48000</v>
      </c>
      <c r="E244" s="394" t="s">
        <v>1088</v>
      </c>
      <c r="F244" s="394">
        <v>498</v>
      </c>
      <c r="G244" s="396">
        <v>7.9</v>
      </c>
      <c r="H244" s="396">
        <v>4.9000000000000004</v>
      </c>
      <c r="I244" s="396">
        <v>7.4</v>
      </c>
      <c r="J244" s="396">
        <v>6.6</v>
      </c>
      <c r="K244" s="396">
        <v>4.8</v>
      </c>
      <c r="L244" s="394" t="s">
        <v>1075</v>
      </c>
      <c r="M244" s="394"/>
      <c r="N244" s="389">
        <f>AVERAGE(H244,I244,K244)</f>
        <v>5.7</v>
      </c>
      <c r="O244" s="397">
        <v>3917</v>
      </c>
      <c r="P244" s="398">
        <v>1877</v>
      </c>
      <c r="Q244" s="397">
        <v>1384</v>
      </c>
      <c r="R244" s="397">
        <v>2720</v>
      </c>
      <c r="S244" s="397">
        <v>1572</v>
      </c>
      <c r="T244" s="397">
        <v>1588</v>
      </c>
      <c r="U244" s="397">
        <v>255</v>
      </c>
      <c r="V244" s="397">
        <v>285</v>
      </c>
      <c r="W244" s="397">
        <v>355</v>
      </c>
      <c r="X244" s="397">
        <v>300</v>
      </c>
      <c r="Y244" s="399">
        <f>S244-('FMTC Main'!$E$22-U244)</f>
        <v>1827</v>
      </c>
      <c r="Z244" s="399">
        <f>T244-('FMTC Main'!$E$27-V244)</f>
        <v>1873</v>
      </c>
      <c r="AA244" s="400" t="str">
        <f>A244&amp;" "&amp;B244&amp;" "&amp;C244</f>
        <v>2010 Ford Shelby GT500</v>
      </c>
    </row>
    <row r="245" spans="1:27" ht="12.95" customHeight="1">
      <c r="A245" s="394">
        <v>1987</v>
      </c>
      <c r="B245" s="394" t="s">
        <v>155</v>
      </c>
      <c r="C245" s="394" t="s">
        <v>871</v>
      </c>
      <c r="D245" s="395">
        <v>52000</v>
      </c>
      <c r="E245" s="394" t="s">
        <v>1087</v>
      </c>
      <c r="F245" s="394">
        <v>388</v>
      </c>
      <c r="G245" s="396">
        <v>4.9000000000000004</v>
      </c>
      <c r="H245" s="396">
        <v>5</v>
      </c>
      <c r="I245" s="396">
        <v>6.3</v>
      </c>
      <c r="J245" s="396">
        <v>6.9</v>
      </c>
      <c r="K245" s="396">
        <v>4.9000000000000004</v>
      </c>
      <c r="L245" s="394" t="s">
        <v>1075</v>
      </c>
      <c r="M245" s="394"/>
      <c r="N245" s="389">
        <f>AVERAGE(H245,I245,K245)</f>
        <v>5.4000000000000012</v>
      </c>
      <c r="O245" s="397">
        <v>2734</v>
      </c>
      <c r="P245" s="398">
        <v>1727</v>
      </c>
      <c r="Q245" s="397">
        <v>1377</v>
      </c>
      <c r="R245" s="397">
        <v>2609</v>
      </c>
      <c r="S245" s="397">
        <v>1450</v>
      </c>
      <c r="T245" s="397">
        <v>1470</v>
      </c>
      <c r="U245" s="397">
        <v>205</v>
      </c>
      <c r="V245" s="397">
        <v>205</v>
      </c>
      <c r="W245" s="397">
        <v>283</v>
      </c>
      <c r="X245" s="397">
        <v>273</v>
      </c>
      <c r="Y245" s="399">
        <f>S245-('FMTC Main'!$E$22-U245)</f>
        <v>1655</v>
      </c>
      <c r="Z245" s="399">
        <f>T245-('FMTC Main'!$E$27-V245)</f>
        <v>1675</v>
      </c>
      <c r="AA245" s="400" t="str">
        <f>A245&amp;" "&amp;B245&amp;" "&amp;C245</f>
        <v>1987 Ford Sierra RS500 Cosworth</v>
      </c>
    </row>
    <row r="246" spans="1:27" ht="12.95" customHeight="1">
      <c r="A246" s="394">
        <v>1993</v>
      </c>
      <c r="B246" s="394" t="s">
        <v>155</v>
      </c>
      <c r="C246" s="394" t="s">
        <v>1077</v>
      </c>
      <c r="D246" s="395">
        <v>7000</v>
      </c>
      <c r="E246" s="394" t="s">
        <v>1085</v>
      </c>
      <c r="F246" s="394">
        <v>295</v>
      </c>
      <c r="G246" s="396">
        <v>3.6</v>
      </c>
      <c r="H246" s="396">
        <v>4.3</v>
      </c>
      <c r="I246" s="396">
        <v>5.3</v>
      </c>
      <c r="J246" s="396">
        <v>5.5</v>
      </c>
      <c r="K246" s="396">
        <v>4.3</v>
      </c>
      <c r="L246" s="394" t="s">
        <v>1075</v>
      </c>
      <c r="M246" s="394"/>
      <c r="N246" s="389">
        <f>AVERAGE(H246,I246,K246)</f>
        <v>4.6333333333333329</v>
      </c>
      <c r="O246" s="397">
        <v>3125</v>
      </c>
      <c r="P246" s="397">
        <v>1755</v>
      </c>
      <c r="Q246" s="397">
        <v>1298</v>
      </c>
      <c r="R246" s="397">
        <v>2553</v>
      </c>
      <c r="S246" s="397">
        <v>1471</v>
      </c>
      <c r="T246" s="397">
        <v>1448</v>
      </c>
      <c r="U246" s="397">
        <v>245</v>
      </c>
      <c r="V246" s="397">
        <v>245</v>
      </c>
      <c r="W246" s="397">
        <v>330</v>
      </c>
      <c r="X246" s="397">
        <v>267</v>
      </c>
      <c r="Y246" s="399">
        <f>S246-('FMTC Main'!$E$22-U246)</f>
        <v>1716</v>
      </c>
      <c r="Z246" s="399">
        <f>T246-('FMTC Main'!$E$27-V246)</f>
        <v>1693</v>
      </c>
      <c r="AA246" s="400" t="str">
        <f>A246&amp;" "&amp;B246&amp;" "&amp;C246</f>
        <v>1993 Ford SVT Cobra R</v>
      </c>
    </row>
    <row r="247" spans="1:27" ht="12.95" customHeight="1">
      <c r="A247" s="394">
        <v>2003</v>
      </c>
      <c r="B247" s="394" t="s">
        <v>155</v>
      </c>
      <c r="C247" s="394" t="s">
        <v>873</v>
      </c>
      <c r="D247" s="395">
        <v>12000</v>
      </c>
      <c r="E247" s="394" t="s">
        <v>1085</v>
      </c>
      <c r="F247" s="394">
        <v>346</v>
      </c>
      <c r="G247" s="396">
        <v>4.5</v>
      </c>
      <c r="H247" s="396">
        <v>4.8</v>
      </c>
      <c r="I247" s="396">
        <v>6</v>
      </c>
      <c r="J247" s="396">
        <v>6.4</v>
      </c>
      <c r="K247" s="396">
        <v>4.7</v>
      </c>
      <c r="L247" s="394" t="s">
        <v>1075</v>
      </c>
      <c r="M247" s="394"/>
      <c r="N247" s="389">
        <f>AVERAGE(H247,I247,K247)</f>
        <v>5.166666666666667</v>
      </c>
      <c r="O247" s="397">
        <v>2769</v>
      </c>
      <c r="P247" s="398">
        <v>1699</v>
      </c>
      <c r="Q247" s="397">
        <v>1430</v>
      </c>
      <c r="R247" s="397">
        <v>2616</v>
      </c>
      <c r="S247" s="397">
        <v>1494</v>
      </c>
      <c r="T247" s="397">
        <v>1486</v>
      </c>
      <c r="U247" s="397">
        <v>215</v>
      </c>
      <c r="V247" s="397">
        <v>215</v>
      </c>
      <c r="W247" s="397">
        <v>300</v>
      </c>
      <c r="X247" s="397">
        <v>280</v>
      </c>
      <c r="Y247" s="399">
        <f>S247-('FMTC Main'!$E$22-U247)</f>
        <v>1709</v>
      </c>
      <c r="Z247" s="399">
        <f>T247-('FMTC Main'!$E$27-V247)</f>
        <v>1701</v>
      </c>
      <c r="AA247" s="400" t="str">
        <f>A247&amp;" "&amp;B247&amp;" "&amp;C247</f>
        <v>2003 Ford SVT Focus</v>
      </c>
    </row>
    <row r="248" spans="1:27" ht="12.95" customHeight="1">
      <c r="A248" s="394">
        <v>2010</v>
      </c>
      <c r="B248" s="394" t="s">
        <v>155</v>
      </c>
      <c r="C248" s="394" t="s">
        <v>693</v>
      </c>
      <c r="D248" s="395"/>
      <c r="E248" s="394" t="s">
        <v>1088</v>
      </c>
      <c r="F248" s="394">
        <v>447</v>
      </c>
      <c r="G248" s="396">
        <v>6.6</v>
      </c>
      <c r="H248" s="396">
        <v>4.5999999999999996</v>
      </c>
      <c r="I248" s="396">
        <v>6.4</v>
      </c>
      <c r="J248" s="396">
        <v>7</v>
      </c>
      <c r="K248" s="396">
        <v>4.5</v>
      </c>
      <c r="L248" s="394" t="s">
        <v>1075</v>
      </c>
      <c r="M248" s="394"/>
      <c r="N248" s="389">
        <f>AVERAGE(H248,I248,K248)</f>
        <v>5.166666666666667</v>
      </c>
      <c r="O248" s="397">
        <v>4368</v>
      </c>
      <c r="P248" s="398">
        <v>1935</v>
      </c>
      <c r="Q248" s="397">
        <v>1542</v>
      </c>
      <c r="R248" s="397">
        <v>2868</v>
      </c>
      <c r="S248" s="397">
        <v>1659</v>
      </c>
      <c r="T248" s="397">
        <v>1664</v>
      </c>
      <c r="U248" s="397">
        <v>255</v>
      </c>
      <c r="V248" s="397">
        <v>255</v>
      </c>
      <c r="W248" s="397">
        <v>330</v>
      </c>
      <c r="X248" s="397">
        <v>330</v>
      </c>
      <c r="Y248" s="399">
        <f>S248-('FMTC Main'!$E$22-U248)</f>
        <v>1914</v>
      </c>
      <c r="Z248" s="399">
        <f>T248-('FMTC Main'!$E$27-V248)</f>
        <v>1919</v>
      </c>
      <c r="AA248" s="400" t="str">
        <f>A248&amp;" "&amp;B248&amp;" "&amp;C248</f>
        <v>2010 Ford Taurus SHO</v>
      </c>
    </row>
    <row r="249" spans="1:27" ht="12.95" customHeight="1">
      <c r="A249" s="394">
        <v>1957</v>
      </c>
      <c r="B249" s="394" t="s">
        <v>155</v>
      </c>
      <c r="C249" s="394" t="s">
        <v>863</v>
      </c>
      <c r="D249" s="395">
        <v>60000</v>
      </c>
      <c r="E249" s="394" t="s">
        <v>1085</v>
      </c>
      <c r="F249" s="394">
        <v>276</v>
      </c>
      <c r="G249" s="396">
        <v>4</v>
      </c>
      <c r="H249" s="396">
        <v>3.5</v>
      </c>
      <c r="I249" s="396">
        <v>6.2</v>
      </c>
      <c r="J249" s="396">
        <v>5.2</v>
      </c>
      <c r="K249" s="396">
        <v>3.5</v>
      </c>
      <c r="L249" s="394" t="s">
        <v>1075</v>
      </c>
      <c r="M249" s="394"/>
      <c r="N249" s="389">
        <f>AVERAGE(H249,I249,K249)</f>
        <v>4.3999999999999995</v>
      </c>
      <c r="O249" s="397">
        <v>3417</v>
      </c>
      <c r="P249" s="398">
        <v>1811</v>
      </c>
      <c r="Q249" s="397">
        <v>1321</v>
      </c>
      <c r="R249" s="397">
        <v>2591</v>
      </c>
      <c r="S249" s="397">
        <v>1422</v>
      </c>
      <c r="T249" s="397">
        <v>1422</v>
      </c>
      <c r="U249" s="397">
        <v>205</v>
      </c>
      <c r="V249" s="397">
        <v>205</v>
      </c>
      <c r="W249" s="397">
        <v>279</v>
      </c>
      <c r="X249" s="397">
        <v>279</v>
      </c>
      <c r="Y249" s="399">
        <f>S249-('FMTC Main'!$E$22-U249)</f>
        <v>1627</v>
      </c>
      <c r="Z249" s="399">
        <f>T249-('FMTC Main'!$E$27-V249)</f>
        <v>1627</v>
      </c>
      <c r="AA249" s="400" t="str">
        <f>A249&amp;" "&amp;B249&amp;" "&amp;C249</f>
        <v>1957 Ford Thunderbird</v>
      </c>
    </row>
    <row r="250" spans="1:27" ht="12.95" customHeight="1">
      <c r="A250" s="394">
        <v>1991</v>
      </c>
      <c r="B250" s="394" t="s">
        <v>881</v>
      </c>
      <c r="C250" s="394" t="s">
        <v>882</v>
      </c>
      <c r="D250" s="395">
        <v>12000</v>
      </c>
      <c r="E250" s="394" t="s">
        <v>1087</v>
      </c>
      <c r="F250" s="394">
        <v>385</v>
      </c>
      <c r="G250" s="396">
        <v>4.5999999999999996</v>
      </c>
      <c r="H250" s="396">
        <v>3.7</v>
      </c>
      <c r="I250" s="396">
        <v>6.2</v>
      </c>
      <c r="J250" s="396">
        <v>7.2</v>
      </c>
      <c r="K250" s="396">
        <v>3.8</v>
      </c>
      <c r="L250" s="394" t="s">
        <v>1075</v>
      </c>
      <c r="M250" s="394"/>
      <c r="N250" s="389">
        <f>AVERAGE(H250,I250,K250)</f>
        <v>4.5666666666666664</v>
      </c>
      <c r="O250" s="397">
        <v>3613</v>
      </c>
      <c r="P250" s="398">
        <v>1646</v>
      </c>
      <c r="Q250" s="397">
        <v>1557</v>
      </c>
      <c r="R250" s="397">
        <v>2751</v>
      </c>
      <c r="S250" s="397">
        <v>1384</v>
      </c>
      <c r="T250" s="397">
        <v>1389</v>
      </c>
      <c r="U250" s="397">
        <v>245</v>
      </c>
      <c r="V250" s="397">
        <v>245</v>
      </c>
      <c r="W250" s="397">
        <v>267</v>
      </c>
      <c r="X250" s="397">
        <v>267</v>
      </c>
      <c r="Y250" s="399">
        <f>S250-('FMTC Main'!$E$22-U250)</f>
        <v>1629</v>
      </c>
      <c r="Z250" s="399">
        <f>T250-('FMTC Main'!$E$27-V250)</f>
        <v>1634</v>
      </c>
      <c r="AA250" s="400" t="str">
        <f>A250&amp;" "&amp;B250&amp;" "&amp;C250</f>
        <v>1991 GMC Syclone</v>
      </c>
    </row>
    <row r="251" spans="1:27" ht="12.95" customHeight="1">
      <c r="A251" s="402">
        <v>1992</v>
      </c>
      <c r="B251" s="402" t="s">
        <v>881</v>
      </c>
      <c r="C251" s="402" t="s">
        <v>1135</v>
      </c>
      <c r="D251" s="403">
        <v>12000</v>
      </c>
      <c r="E251" s="402" t="s">
        <v>1087</v>
      </c>
      <c r="F251" s="402">
        <v>376</v>
      </c>
      <c r="G251" s="404">
        <v>4.5</v>
      </c>
      <c r="H251" s="404">
        <v>3.6</v>
      </c>
      <c r="I251" s="404">
        <v>6.2</v>
      </c>
      <c r="J251" s="404">
        <v>7.2</v>
      </c>
      <c r="K251" s="404">
        <v>3.7</v>
      </c>
      <c r="L251" s="402" t="s">
        <v>1075</v>
      </c>
      <c r="M251" s="394"/>
      <c r="N251" s="389">
        <f>AVERAGE(H251,I251,K251)</f>
        <v>4.5</v>
      </c>
      <c r="O251" s="405">
        <v>3800</v>
      </c>
      <c r="P251" s="405">
        <v>1732</v>
      </c>
      <c r="Q251" s="405">
        <v>1524</v>
      </c>
      <c r="R251" s="405">
        <v>2553</v>
      </c>
      <c r="S251" s="405">
        <v>1468</v>
      </c>
      <c r="T251" s="405">
        <v>1473</v>
      </c>
      <c r="U251" s="405">
        <v>245</v>
      </c>
      <c r="V251" s="405">
        <v>245</v>
      </c>
      <c r="W251" s="405">
        <v>302</v>
      </c>
      <c r="X251" s="405">
        <v>282</v>
      </c>
      <c r="Y251" s="406">
        <f>S251-('FMTC Main'!$E$22-U251)</f>
        <v>1713</v>
      </c>
      <c r="Z251" s="406">
        <f>T251-('FMTC Main'!$E$27-V251)</f>
        <v>1718</v>
      </c>
      <c r="AA251" s="407" t="str">
        <f>A251&amp;" "&amp;B251&amp;" "&amp;C251</f>
        <v>1992 GMC Typhoon</v>
      </c>
    </row>
    <row r="252" spans="1:27" ht="12.95" customHeight="1">
      <c r="A252" s="394">
        <v>2010</v>
      </c>
      <c r="B252" s="394" t="s">
        <v>694</v>
      </c>
      <c r="C252" s="394" t="s">
        <v>695</v>
      </c>
      <c r="D252" s="395">
        <v>320000</v>
      </c>
      <c r="E252" s="394" t="s">
        <v>1094</v>
      </c>
      <c r="F252" s="394">
        <v>749</v>
      </c>
      <c r="G252" s="396">
        <v>7.5</v>
      </c>
      <c r="H252" s="396">
        <v>6.9</v>
      </c>
      <c r="I252" s="396">
        <v>9.4</v>
      </c>
      <c r="J252" s="396">
        <v>8.6</v>
      </c>
      <c r="K252" s="396">
        <v>7</v>
      </c>
      <c r="L252" s="394" t="s">
        <v>1101</v>
      </c>
      <c r="M252" s="394"/>
      <c r="N252" s="389">
        <f>AVERAGE(H252,I252,K252)</f>
        <v>7.7666666666666666</v>
      </c>
      <c r="O252" s="397">
        <v>2976</v>
      </c>
      <c r="P252" s="398">
        <v>1998</v>
      </c>
      <c r="Q252" s="397">
        <v>1105</v>
      </c>
      <c r="R252" s="397">
        <v>2700</v>
      </c>
      <c r="S252" s="397">
        <v>1670</v>
      </c>
      <c r="T252" s="397">
        <v>1598</v>
      </c>
      <c r="U252" s="397">
        <v>255</v>
      </c>
      <c r="V252" s="397">
        <v>345</v>
      </c>
      <c r="W252" s="397">
        <v>378</v>
      </c>
      <c r="X252" s="397">
        <v>378</v>
      </c>
      <c r="Y252" s="399">
        <f>S252-('FMTC Main'!$E$22-U252)</f>
        <v>1925</v>
      </c>
      <c r="Z252" s="399">
        <f>T252-('FMTC Main'!$E$27-V252)</f>
        <v>1943</v>
      </c>
      <c r="AA252" s="400" t="str">
        <f>A252&amp;" "&amp;B252&amp;" "&amp;C252</f>
        <v>2010 Gumpert Apollo S</v>
      </c>
    </row>
    <row r="253" spans="1:27" ht="12.95" customHeight="1">
      <c r="A253" s="394">
        <v>2011</v>
      </c>
      <c r="B253" s="394" t="s">
        <v>163</v>
      </c>
      <c r="C253" s="394" t="s">
        <v>883</v>
      </c>
      <c r="D253" s="395">
        <v>900000</v>
      </c>
      <c r="E253" s="394" t="s">
        <v>1094</v>
      </c>
      <c r="F253" s="394">
        <v>709</v>
      </c>
      <c r="G253" s="396">
        <v>7.3</v>
      </c>
      <c r="H253" s="396">
        <v>7.2</v>
      </c>
      <c r="I253" s="396">
        <v>8.5</v>
      </c>
      <c r="J253" s="396">
        <v>7.2</v>
      </c>
      <c r="K253" s="396">
        <v>7.2</v>
      </c>
      <c r="L253" s="394" t="s">
        <v>1102</v>
      </c>
      <c r="M253" s="394"/>
      <c r="N253" s="389">
        <f>AVERAGE(H253,I253,K253)</f>
        <v>7.6333333333333329</v>
      </c>
      <c r="O253" s="397">
        <v>2987</v>
      </c>
      <c r="P253" s="398">
        <v>1899</v>
      </c>
      <c r="Q253" s="397">
        <v>1462</v>
      </c>
      <c r="R253" s="397">
        <v>2829</v>
      </c>
      <c r="S253" s="397">
        <v>1592</v>
      </c>
      <c r="T253" s="397">
        <v>1590</v>
      </c>
      <c r="U253" s="397">
        <v>280</v>
      </c>
      <c r="V253" s="397">
        <v>280</v>
      </c>
      <c r="W253" s="397">
        <v>375</v>
      </c>
      <c r="X253" s="397">
        <v>343</v>
      </c>
      <c r="Y253" s="399">
        <f>S253-('FMTC Main'!$E$22-U253)</f>
        <v>1872</v>
      </c>
      <c r="Z253" s="399">
        <f>T253-('FMTC Main'!$E$27-V253)</f>
        <v>1870</v>
      </c>
      <c r="AA253" s="400" t="str">
        <f>A253&amp;" "&amp;B253&amp;" "&amp;C253</f>
        <v>2011 Holden #1 Toll Holden Racing Commodore VE</v>
      </c>
    </row>
    <row r="254" spans="1:27" ht="12.95" customHeight="1">
      <c r="A254" s="394">
        <v>2011</v>
      </c>
      <c r="B254" s="394" t="s">
        <v>163</v>
      </c>
      <c r="C254" s="394" t="s">
        <v>884</v>
      </c>
      <c r="D254" s="395">
        <v>900000</v>
      </c>
      <c r="E254" s="394" t="s">
        <v>1094</v>
      </c>
      <c r="F254" s="394">
        <v>709</v>
      </c>
      <c r="G254" s="396">
        <v>7.3</v>
      </c>
      <c r="H254" s="396">
        <v>7.2</v>
      </c>
      <c r="I254" s="396">
        <v>8.5</v>
      </c>
      <c r="J254" s="396">
        <v>7.2</v>
      </c>
      <c r="K254" s="396">
        <v>7.2</v>
      </c>
      <c r="L254" s="394" t="s">
        <v>1102</v>
      </c>
      <c r="M254" s="394"/>
      <c r="N254" s="389">
        <f>AVERAGE(H254,I254,K254)</f>
        <v>7.6333333333333329</v>
      </c>
      <c r="O254" s="397">
        <v>2987</v>
      </c>
      <c r="P254" s="398">
        <v>1899</v>
      </c>
      <c r="Q254" s="397">
        <v>1462</v>
      </c>
      <c r="R254" s="397">
        <v>2829</v>
      </c>
      <c r="S254" s="397">
        <v>1592</v>
      </c>
      <c r="T254" s="397">
        <v>1590</v>
      </c>
      <c r="U254" s="397">
        <v>280</v>
      </c>
      <c r="V254" s="397">
        <v>280</v>
      </c>
      <c r="W254" s="397">
        <v>375</v>
      </c>
      <c r="X254" s="397">
        <v>343</v>
      </c>
      <c r="Y254" s="399">
        <f>S254-('FMTC Main'!$E$22-U254)</f>
        <v>1872</v>
      </c>
      <c r="Z254" s="399">
        <f>T254-('FMTC Main'!$E$27-V254)</f>
        <v>1870</v>
      </c>
      <c r="AA254" s="400" t="str">
        <f>A254&amp;" "&amp;B254&amp;" "&amp;C254</f>
        <v>2011 Holden #11 Pepsi Max Crew Commodore VE</v>
      </c>
    </row>
    <row r="255" spans="1:27" ht="12.95" customHeight="1">
      <c r="A255" s="394">
        <v>2011</v>
      </c>
      <c r="B255" s="394" t="s">
        <v>163</v>
      </c>
      <c r="C255" s="394" t="s">
        <v>885</v>
      </c>
      <c r="D255" s="395">
        <v>900000</v>
      </c>
      <c r="E255" s="394" t="s">
        <v>1094</v>
      </c>
      <c r="F255" s="394">
        <v>709</v>
      </c>
      <c r="G255" s="396">
        <v>7.3</v>
      </c>
      <c r="H255" s="396">
        <v>7.2</v>
      </c>
      <c r="I255" s="396">
        <v>8.5</v>
      </c>
      <c r="J255" s="396">
        <v>7.2</v>
      </c>
      <c r="K255" s="396">
        <v>7.2</v>
      </c>
      <c r="L255" s="394" t="s">
        <v>1102</v>
      </c>
      <c r="M255" s="394"/>
      <c r="N255" s="389">
        <f>AVERAGE(H255,I255,K255)</f>
        <v>7.6333333333333329</v>
      </c>
      <c r="O255" s="397">
        <v>2987</v>
      </c>
      <c r="P255" s="398">
        <v>1899</v>
      </c>
      <c r="Q255" s="397">
        <v>1462</v>
      </c>
      <c r="R255" s="397">
        <v>2829</v>
      </c>
      <c r="S255" s="397">
        <v>1592</v>
      </c>
      <c r="T255" s="397">
        <v>1590</v>
      </c>
      <c r="U255" s="397">
        <v>280</v>
      </c>
      <c r="V255" s="397">
        <v>280</v>
      </c>
      <c r="W255" s="397">
        <v>375</v>
      </c>
      <c r="X255" s="397">
        <v>343</v>
      </c>
      <c r="Y255" s="399">
        <f>S255-('FMTC Main'!$E$22-U255)</f>
        <v>1872</v>
      </c>
      <c r="Z255" s="399">
        <f>T255-('FMTC Main'!$E$27-V255)</f>
        <v>1870</v>
      </c>
      <c r="AA255" s="400" t="str">
        <f>A255&amp;" "&amp;B255&amp;" "&amp;C255</f>
        <v>2011 Holden #33 Fujitsu Racing GRM Commodore VE</v>
      </c>
    </row>
    <row r="256" spans="1:27" ht="12.95" customHeight="1">
      <c r="A256" s="394">
        <v>2011</v>
      </c>
      <c r="B256" s="394" t="s">
        <v>163</v>
      </c>
      <c r="C256" s="394" t="s">
        <v>886</v>
      </c>
      <c r="D256" s="395">
        <v>900000</v>
      </c>
      <c r="E256" s="394" t="s">
        <v>1094</v>
      </c>
      <c r="F256" s="394">
        <v>709</v>
      </c>
      <c r="G256" s="396">
        <v>7.3</v>
      </c>
      <c r="H256" s="396">
        <v>7.2</v>
      </c>
      <c r="I256" s="396">
        <v>8.5</v>
      </c>
      <c r="J256" s="396">
        <v>7.2</v>
      </c>
      <c r="K256" s="396">
        <v>7.2</v>
      </c>
      <c r="L256" s="394" t="s">
        <v>1102</v>
      </c>
      <c r="M256" s="394"/>
      <c r="N256" s="389">
        <f>AVERAGE(H256,I256,K256)</f>
        <v>7.6333333333333329</v>
      </c>
      <c r="O256" s="397">
        <v>2987</v>
      </c>
      <c r="P256" s="398">
        <v>1899</v>
      </c>
      <c r="Q256" s="397">
        <v>1462</v>
      </c>
      <c r="R256" s="397">
        <v>2829</v>
      </c>
      <c r="S256" s="397">
        <v>1592</v>
      </c>
      <c r="T256" s="397">
        <v>1590</v>
      </c>
      <c r="U256" s="397">
        <v>280</v>
      </c>
      <c r="V256" s="397">
        <v>280</v>
      </c>
      <c r="W256" s="397">
        <v>375</v>
      </c>
      <c r="X256" s="397">
        <v>343</v>
      </c>
      <c r="Y256" s="399">
        <f>S256-('FMTC Main'!$E$22-U256)</f>
        <v>1872</v>
      </c>
      <c r="Z256" s="399">
        <f>T256-('FMTC Main'!$E$27-V256)</f>
        <v>1870</v>
      </c>
      <c r="AA256" s="400" t="str">
        <f>A256&amp;" "&amp;B256&amp;" "&amp;C256</f>
        <v>2011 Holden #8 Team BOC Commodore VE</v>
      </c>
    </row>
    <row r="257" spans="1:27" ht="12.95" customHeight="1">
      <c r="A257" s="394">
        <v>2011</v>
      </c>
      <c r="B257" s="394" t="s">
        <v>163</v>
      </c>
      <c r="C257" s="394" t="s">
        <v>887</v>
      </c>
      <c r="D257" s="395">
        <v>900000</v>
      </c>
      <c r="E257" s="394" t="s">
        <v>1094</v>
      </c>
      <c r="F257" s="394">
        <v>709</v>
      </c>
      <c r="G257" s="396">
        <v>7.3</v>
      </c>
      <c r="H257" s="396">
        <v>7.2</v>
      </c>
      <c r="I257" s="396">
        <v>8.5</v>
      </c>
      <c r="J257" s="396">
        <v>7.2</v>
      </c>
      <c r="K257" s="396">
        <v>7.2</v>
      </c>
      <c r="L257" s="394" t="s">
        <v>1102</v>
      </c>
      <c r="M257" s="394"/>
      <c r="N257" s="389">
        <f>AVERAGE(H257,I257,K257)</f>
        <v>7.6333333333333329</v>
      </c>
      <c r="O257" s="397">
        <v>2987</v>
      </c>
      <c r="P257" s="398">
        <v>1899</v>
      </c>
      <c r="Q257" s="397">
        <v>1462</v>
      </c>
      <c r="R257" s="397">
        <v>2829</v>
      </c>
      <c r="S257" s="397">
        <v>1592</v>
      </c>
      <c r="T257" s="397">
        <v>1590</v>
      </c>
      <c r="U257" s="397">
        <v>280</v>
      </c>
      <c r="V257" s="397">
        <v>280</v>
      </c>
      <c r="W257" s="397">
        <v>375</v>
      </c>
      <c r="X257" s="397">
        <v>343</v>
      </c>
      <c r="Y257" s="399">
        <f>S257-('FMTC Main'!$E$22-U257)</f>
        <v>1872</v>
      </c>
      <c r="Z257" s="399">
        <f>T257-('FMTC Main'!$E$27-V257)</f>
        <v>1870</v>
      </c>
      <c r="AA257" s="400" t="str">
        <f>A257&amp;" "&amp;B257&amp;" "&amp;C257</f>
        <v>2011 Holden #88 Team Vodafone Commodore VE</v>
      </c>
    </row>
    <row r="258" spans="1:27" ht="12.95" customHeight="1">
      <c r="A258" s="394">
        <v>2009</v>
      </c>
      <c r="B258" s="394" t="s">
        <v>163</v>
      </c>
      <c r="C258" s="394" t="s">
        <v>696</v>
      </c>
      <c r="D258" s="395">
        <v>110000</v>
      </c>
      <c r="E258" s="394" t="s">
        <v>349</v>
      </c>
      <c r="F258" s="394">
        <v>504</v>
      </c>
      <c r="G258" s="396">
        <v>7.6</v>
      </c>
      <c r="H258" s="396">
        <v>4.9000000000000004</v>
      </c>
      <c r="I258" s="396">
        <v>7.6</v>
      </c>
      <c r="J258" s="396">
        <v>7.1</v>
      </c>
      <c r="K258" s="396">
        <v>4.9000000000000004</v>
      </c>
      <c r="L258" s="394" t="s">
        <v>1102</v>
      </c>
      <c r="M258" s="394"/>
      <c r="N258" s="389">
        <f>AVERAGE(H258,I258,K258)</f>
        <v>5.8</v>
      </c>
      <c r="O258" s="397">
        <v>4122</v>
      </c>
      <c r="P258" s="398">
        <v>1899</v>
      </c>
      <c r="Q258" s="397">
        <v>1462</v>
      </c>
      <c r="R258" s="397">
        <v>2915</v>
      </c>
      <c r="S258" s="397">
        <v>1592</v>
      </c>
      <c r="T258" s="397">
        <v>1590</v>
      </c>
      <c r="U258" s="397">
        <v>245</v>
      </c>
      <c r="V258" s="397">
        <v>275</v>
      </c>
      <c r="W258" s="397">
        <v>380</v>
      </c>
      <c r="X258" s="397">
        <v>350</v>
      </c>
      <c r="Y258" s="399">
        <f>S258-('FMTC Main'!$E$22-U258)</f>
        <v>1837</v>
      </c>
      <c r="Z258" s="399">
        <f>T258-('FMTC Main'!$E$27-V258)</f>
        <v>1865</v>
      </c>
      <c r="AA258" s="400" t="str">
        <f>A258&amp;" "&amp;B258&amp;" "&amp;C258</f>
        <v>2009 Holden HSV w427</v>
      </c>
    </row>
    <row r="259" spans="1:27" ht="12.95" customHeight="1">
      <c r="A259" s="394">
        <v>2005</v>
      </c>
      <c r="B259" s="394" t="s">
        <v>164</v>
      </c>
      <c r="C259" s="394" t="s">
        <v>888</v>
      </c>
      <c r="D259" s="395">
        <v>1500000</v>
      </c>
      <c r="E259" s="394" t="s">
        <v>1091</v>
      </c>
      <c r="F259" s="394">
        <v>859</v>
      </c>
      <c r="G259" s="396">
        <v>7.3</v>
      </c>
      <c r="H259" s="396">
        <v>8.9</v>
      </c>
      <c r="I259" s="396">
        <v>9.1999999999999993</v>
      </c>
      <c r="J259" s="396">
        <v>8.4</v>
      </c>
      <c r="K259" s="396">
        <v>8.9</v>
      </c>
      <c r="L259" s="394" t="s">
        <v>1103</v>
      </c>
      <c r="M259" s="394"/>
      <c r="N259" s="389">
        <f>AVERAGE(H259,I259,K259)</f>
        <v>9</v>
      </c>
      <c r="O259" s="397">
        <v>2601</v>
      </c>
      <c r="P259" s="398">
        <v>1695</v>
      </c>
      <c r="Q259" s="397">
        <v>1375</v>
      </c>
      <c r="R259" s="397">
        <v>2621</v>
      </c>
      <c r="S259" s="397">
        <v>1475</v>
      </c>
      <c r="T259" s="397">
        <v>1475</v>
      </c>
      <c r="U259" s="397">
        <v>325</v>
      </c>
      <c r="V259" s="397">
        <v>330</v>
      </c>
      <c r="W259" s="397">
        <v>262</v>
      </c>
      <c r="X259" s="397">
        <v>240</v>
      </c>
      <c r="Y259" s="399">
        <f>S259-('FMTC Main'!$E$22-U259)</f>
        <v>1800</v>
      </c>
      <c r="Z259" s="399">
        <f>T259-('FMTC Main'!$E$27-V259)</f>
        <v>1805</v>
      </c>
      <c r="AA259" s="400" t="str">
        <f>A259&amp;" "&amp;B259&amp;" "&amp;C259</f>
        <v>2005 Honda #18 Takata Dome NSX</v>
      </c>
    </row>
    <row r="260" spans="1:27" ht="12.95" customHeight="1">
      <c r="A260" s="402">
        <v>2011</v>
      </c>
      <c r="B260" s="394" t="s">
        <v>164</v>
      </c>
      <c r="C260" s="402" t="s">
        <v>1157</v>
      </c>
      <c r="D260" s="403">
        <v>2000000</v>
      </c>
      <c r="E260" s="402" t="s">
        <v>1086</v>
      </c>
      <c r="F260" s="402">
        <v>947</v>
      </c>
      <c r="G260" s="404">
        <v>8.5</v>
      </c>
      <c r="H260" s="404">
        <v>9.6999999999999993</v>
      </c>
      <c r="I260" s="404">
        <v>9.6</v>
      </c>
      <c r="J260" s="404">
        <v>8.5</v>
      </c>
      <c r="K260" s="404">
        <v>9.6</v>
      </c>
      <c r="L260" s="402" t="s">
        <v>1103</v>
      </c>
      <c r="M260" s="402" t="s">
        <v>1154</v>
      </c>
      <c r="N260" s="389">
        <f>AVERAGE(H260,I260,K260)</f>
        <v>9.6333333333333329</v>
      </c>
      <c r="O260" s="405">
        <v>1819</v>
      </c>
      <c r="P260" s="405">
        <v>1993</v>
      </c>
      <c r="Q260" s="405">
        <v>1100</v>
      </c>
      <c r="R260" s="405">
        <v>2782</v>
      </c>
      <c r="S260" s="405">
        <v>1634</v>
      </c>
      <c r="T260" s="405">
        <v>1609</v>
      </c>
      <c r="U260" s="405">
        <v>300</v>
      </c>
      <c r="V260" s="405">
        <v>310</v>
      </c>
      <c r="W260" s="405">
        <v>380</v>
      </c>
      <c r="X260" s="405">
        <v>380</v>
      </c>
      <c r="Y260" s="406">
        <f>S260-('FMTC Main'!$E$22-U260)</f>
        <v>1934</v>
      </c>
      <c r="Z260" s="406">
        <f>T260-('FMTC Main'!$E$27-V260)</f>
        <v>1919</v>
      </c>
      <c r="AA260" s="407" t="str">
        <f>A260&amp;" "&amp;B260&amp;" "&amp;C260</f>
        <v>2011 Honda #33 Level 5 Motorsports Lola</v>
      </c>
    </row>
    <row r="261" spans="1:27" ht="12.95" customHeight="1">
      <c r="A261" s="394">
        <v>1994</v>
      </c>
      <c r="B261" s="394" t="s">
        <v>164</v>
      </c>
      <c r="C261" s="394" t="s">
        <v>288</v>
      </c>
      <c r="D261" s="395">
        <v>5000</v>
      </c>
      <c r="E261" s="394" t="s">
        <v>1083</v>
      </c>
      <c r="F261" s="394">
        <v>260</v>
      </c>
      <c r="G261" s="396">
        <v>3.7</v>
      </c>
      <c r="H261" s="396">
        <v>4.5</v>
      </c>
      <c r="I261" s="396">
        <v>5</v>
      </c>
      <c r="J261" s="396">
        <v>5.4</v>
      </c>
      <c r="K261" s="396">
        <v>4.4000000000000004</v>
      </c>
      <c r="L261" s="394" t="s">
        <v>1103</v>
      </c>
      <c r="M261" s="394"/>
      <c r="N261" s="389">
        <f>AVERAGE(H261,I261,K261)</f>
        <v>4.6333333333333337</v>
      </c>
      <c r="O261" s="397">
        <v>2271</v>
      </c>
      <c r="P261" s="398">
        <v>1695</v>
      </c>
      <c r="Q261" s="397">
        <v>1345</v>
      </c>
      <c r="R261" s="397">
        <v>2570</v>
      </c>
      <c r="S261" s="397">
        <v>1475</v>
      </c>
      <c r="T261" s="397">
        <v>1465</v>
      </c>
      <c r="U261" s="397">
        <v>185</v>
      </c>
      <c r="V261" s="397">
        <v>185</v>
      </c>
      <c r="W261" s="397">
        <v>240</v>
      </c>
      <c r="X261" s="397">
        <v>180</v>
      </c>
      <c r="Y261" s="399">
        <f>S261-('FMTC Main'!$E$22-U261)</f>
        <v>1660</v>
      </c>
      <c r="Z261" s="399">
        <f>T261-('FMTC Main'!$E$27-V261)</f>
        <v>1650</v>
      </c>
      <c r="AA261" s="400" t="str">
        <f>A261&amp;" "&amp;B261&amp;" "&amp;C261</f>
        <v>1994 Honda Civic 1.5 VTi</v>
      </c>
    </row>
    <row r="262" spans="1:27" ht="12.95" customHeight="1">
      <c r="A262" s="394">
        <v>1999</v>
      </c>
      <c r="B262" s="394" t="s">
        <v>164</v>
      </c>
      <c r="C262" s="394" t="s">
        <v>166</v>
      </c>
      <c r="D262" s="395">
        <v>7000</v>
      </c>
      <c r="E262" s="394" t="s">
        <v>1085</v>
      </c>
      <c r="F262" s="394">
        <v>279</v>
      </c>
      <c r="G262" s="396">
        <v>3.8</v>
      </c>
      <c r="H262" s="396">
        <v>4.4000000000000004</v>
      </c>
      <c r="I262" s="396">
        <v>5.4</v>
      </c>
      <c r="J262" s="396">
        <v>5.7</v>
      </c>
      <c r="K262" s="396">
        <v>4.4000000000000004</v>
      </c>
      <c r="L262" s="394" t="s">
        <v>1103</v>
      </c>
      <c r="M262" s="394"/>
      <c r="N262" s="389">
        <f>AVERAGE(H262,I262,K262)</f>
        <v>4.7333333333333334</v>
      </c>
      <c r="O262" s="397">
        <v>2560</v>
      </c>
      <c r="P262" s="398">
        <v>1704</v>
      </c>
      <c r="Q262" s="397">
        <v>1374</v>
      </c>
      <c r="R262" s="397">
        <v>2620</v>
      </c>
      <c r="S262" s="397">
        <v>1475</v>
      </c>
      <c r="T262" s="397">
        <v>1465</v>
      </c>
      <c r="U262" s="397">
        <v>195</v>
      </c>
      <c r="V262" s="397">
        <v>195</v>
      </c>
      <c r="W262" s="397">
        <v>262</v>
      </c>
      <c r="X262" s="397">
        <v>239</v>
      </c>
      <c r="Y262" s="399">
        <f>S262-('FMTC Main'!$E$22-U262)</f>
        <v>1670</v>
      </c>
      <c r="Z262" s="399">
        <f>T262-('FMTC Main'!$E$27-V262)</f>
        <v>1660</v>
      </c>
      <c r="AA262" s="400" t="str">
        <f>A262&amp;" "&amp;B262&amp;" "&amp;C262</f>
        <v>1999 Honda Civic Si Coupe</v>
      </c>
    </row>
    <row r="263" spans="1:27" ht="12.95" customHeight="1">
      <c r="A263" s="394">
        <v>2006</v>
      </c>
      <c r="B263" s="394" t="s">
        <v>164</v>
      </c>
      <c r="C263" s="394" t="s">
        <v>166</v>
      </c>
      <c r="D263" s="395">
        <v>16000</v>
      </c>
      <c r="E263" s="394" t="s">
        <v>1087</v>
      </c>
      <c r="F263" s="394">
        <v>371</v>
      </c>
      <c r="G263" s="396">
        <v>5.0999999999999996</v>
      </c>
      <c r="H263" s="396">
        <v>4.8</v>
      </c>
      <c r="I263" s="396">
        <v>5.9</v>
      </c>
      <c r="J263" s="396">
        <v>6.1</v>
      </c>
      <c r="K263" s="396">
        <v>4.5999999999999996</v>
      </c>
      <c r="L263" s="394" t="s">
        <v>1103</v>
      </c>
      <c r="M263" s="394"/>
      <c r="N263" s="389">
        <f>AVERAGE(H263,I263,K263)</f>
        <v>5.0999999999999996</v>
      </c>
      <c r="O263" s="397">
        <v>2880</v>
      </c>
      <c r="P263" s="398">
        <v>1750</v>
      </c>
      <c r="Q263" s="397">
        <v>1359</v>
      </c>
      <c r="R263" s="397">
        <v>2649</v>
      </c>
      <c r="S263" s="397">
        <v>1499</v>
      </c>
      <c r="T263" s="397">
        <v>1527</v>
      </c>
      <c r="U263" s="397">
        <v>215</v>
      </c>
      <c r="V263" s="397">
        <v>215</v>
      </c>
      <c r="W263" s="397">
        <v>300</v>
      </c>
      <c r="X263" s="397">
        <v>260</v>
      </c>
      <c r="Y263" s="399">
        <f>S263-('FMTC Main'!$E$22-U263)</f>
        <v>1714</v>
      </c>
      <c r="Z263" s="399">
        <f>T263-('FMTC Main'!$E$27-V263)</f>
        <v>1742</v>
      </c>
      <c r="AA263" s="400" t="str">
        <f>A263&amp;" "&amp;B263&amp;" "&amp;C263</f>
        <v>2006 Honda Civic Si Coupe</v>
      </c>
    </row>
    <row r="264" spans="1:27" ht="12.95" customHeight="1">
      <c r="A264" s="402">
        <v>2012</v>
      </c>
      <c r="B264" s="394" t="s">
        <v>164</v>
      </c>
      <c r="C264" s="402" t="s">
        <v>166</v>
      </c>
      <c r="D264" s="403">
        <v>20000</v>
      </c>
      <c r="E264" s="402" t="s">
        <v>1087</v>
      </c>
      <c r="F264" s="402">
        <v>383</v>
      </c>
      <c r="G264" s="404">
        <v>4.9000000000000004</v>
      </c>
      <c r="H264" s="404">
        <v>4.7</v>
      </c>
      <c r="I264" s="404">
        <v>6.2</v>
      </c>
      <c r="J264" s="404">
        <v>6.1</v>
      </c>
      <c r="K264" s="404">
        <v>4.5999999999999996</v>
      </c>
      <c r="L264" s="402" t="s">
        <v>1103</v>
      </c>
      <c r="M264" s="402" t="s">
        <v>1154</v>
      </c>
      <c r="N264" s="389">
        <f>AVERAGE(H264,I264,K264)</f>
        <v>5.166666666666667</v>
      </c>
      <c r="O264" s="405">
        <v>2877</v>
      </c>
      <c r="P264" s="405">
        <v>1753</v>
      </c>
      <c r="Q264" s="405">
        <v>1397</v>
      </c>
      <c r="R264" s="405">
        <v>2619</v>
      </c>
      <c r="S264" s="405">
        <v>1499</v>
      </c>
      <c r="T264" s="405">
        <v>1521</v>
      </c>
      <c r="U264" s="405">
        <v>215</v>
      </c>
      <c r="V264" s="405">
        <v>215</v>
      </c>
      <c r="W264" s="405">
        <v>300</v>
      </c>
      <c r="X264" s="405">
        <v>259</v>
      </c>
      <c r="Y264" s="406">
        <f>S264-('FMTC Main'!$E$22-U264)</f>
        <v>1714</v>
      </c>
      <c r="Z264" s="406">
        <f>T264-('FMTC Main'!$E$27-V264)</f>
        <v>1736</v>
      </c>
      <c r="AA264" s="407" t="str">
        <f>A264&amp;" "&amp;B264&amp;" "&amp;C264</f>
        <v>2012 Honda Civic Si Coupe</v>
      </c>
    </row>
    <row r="265" spans="1:27" ht="12.95" customHeight="1">
      <c r="A265" s="394">
        <v>1997</v>
      </c>
      <c r="B265" s="394" t="s">
        <v>164</v>
      </c>
      <c r="C265" s="394" t="s">
        <v>167</v>
      </c>
      <c r="D265" s="395">
        <v>9000</v>
      </c>
      <c r="E265" s="394" t="s">
        <v>1087</v>
      </c>
      <c r="F265" s="394">
        <v>390</v>
      </c>
      <c r="G265" s="396">
        <v>4.9000000000000004</v>
      </c>
      <c r="H265" s="396">
        <v>4.9000000000000004</v>
      </c>
      <c r="I265" s="396">
        <v>5.9</v>
      </c>
      <c r="J265" s="396">
        <v>6.2</v>
      </c>
      <c r="K265" s="396">
        <v>4.8</v>
      </c>
      <c r="L265" s="394" t="s">
        <v>1103</v>
      </c>
      <c r="M265" s="394"/>
      <c r="N265" s="389">
        <f>AVERAGE(H265,I265,K265)</f>
        <v>5.2</v>
      </c>
      <c r="O265" s="397">
        <v>2403</v>
      </c>
      <c r="P265" s="398">
        <v>1695</v>
      </c>
      <c r="Q265" s="397">
        <v>1360</v>
      </c>
      <c r="R265" s="397">
        <v>2620</v>
      </c>
      <c r="S265" s="397">
        <v>1480</v>
      </c>
      <c r="T265" s="397">
        <v>1480</v>
      </c>
      <c r="U265" s="397">
        <v>195</v>
      </c>
      <c r="V265" s="397">
        <v>195</v>
      </c>
      <c r="W265" s="397">
        <v>240</v>
      </c>
      <c r="X265" s="397">
        <v>200</v>
      </c>
      <c r="Y265" s="399">
        <f>S265-('FMTC Main'!$E$22-U265)</f>
        <v>1675</v>
      </c>
      <c r="Z265" s="399">
        <f>T265-('FMTC Main'!$E$27-V265)</f>
        <v>1675</v>
      </c>
      <c r="AA265" s="400" t="str">
        <f>A265&amp;" "&amp;B265&amp;" "&amp;C265</f>
        <v>1997 Honda Civic Type-R</v>
      </c>
    </row>
    <row r="266" spans="1:27" ht="12.95" customHeight="1">
      <c r="A266" s="394">
        <v>2004</v>
      </c>
      <c r="B266" s="394" t="s">
        <v>164</v>
      </c>
      <c r="C266" s="394" t="s">
        <v>167</v>
      </c>
      <c r="D266" s="395">
        <v>12000</v>
      </c>
      <c r="E266" s="394" t="s">
        <v>1087</v>
      </c>
      <c r="F266" s="394">
        <v>377</v>
      </c>
      <c r="G266" s="396">
        <v>4.8</v>
      </c>
      <c r="H266" s="396">
        <v>4.4000000000000004</v>
      </c>
      <c r="I266" s="396">
        <v>6.3</v>
      </c>
      <c r="J266" s="396">
        <v>6.2</v>
      </c>
      <c r="K266" s="396">
        <v>4.3</v>
      </c>
      <c r="L266" s="394" t="s">
        <v>1103</v>
      </c>
      <c r="M266" s="394"/>
      <c r="N266" s="389">
        <f>AVERAGE(H266,I266,K266)</f>
        <v>5</v>
      </c>
      <c r="O266" s="397">
        <v>2624</v>
      </c>
      <c r="P266" s="398">
        <v>1695</v>
      </c>
      <c r="Q266" s="397">
        <v>1440</v>
      </c>
      <c r="R266" s="397">
        <v>2575</v>
      </c>
      <c r="S266" s="397">
        <v>1472</v>
      </c>
      <c r="T266" s="397">
        <v>1490</v>
      </c>
      <c r="U266" s="397">
        <v>205</v>
      </c>
      <c r="V266" s="397">
        <v>205</v>
      </c>
      <c r="W266" s="397">
        <v>262</v>
      </c>
      <c r="X266" s="397">
        <v>260</v>
      </c>
      <c r="Y266" s="399">
        <f>S266-('FMTC Main'!$E$22-U266)</f>
        <v>1677</v>
      </c>
      <c r="Z266" s="399">
        <f>T266-('FMTC Main'!$E$27-V266)</f>
        <v>1695</v>
      </c>
      <c r="AA266" s="400" t="str">
        <f>A266&amp;" "&amp;B266&amp;" "&amp;C266</f>
        <v>2004 Honda Civic Type-R</v>
      </c>
    </row>
    <row r="267" spans="1:27" ht="12.95" customHeight="1">
      <c r="A267" s="394">
        <v>2007</v>
      </c>
      <c r="B267" s="394" t="s">
        <v>164</v>
      </c>
      <c r="C267" s="394" t="s">
        <v>167</v>
      </c>
      <c r="D267" s="395">
        <v>18000</v>
      </c>
      <c r="E267" s="394" t="s">
        <v>1087</v>
      </c>
      <c r="F267" s="394">
        <v>390</v>
      </c>
      <c r="G267" s="396">
        <v>5</v>
      </c>
      <c r="H267" s="396">
        <v>5.0999999999999996</v>
      </c>
      <c r="I267" s="396">
        <v>5.9</v>
      </c>
      <c r="J267" s="396">
        <v>6.2</v>
      </c>
      <c r="K267" s="396">
        <v>4.9000000000000004</v>
      </c>
      <c r="L267" s="394" t="s">
        <v>1103</v>
      </c>
      <c r="M267" s="394"/>
      <c r="N267" s="389">
        <f>AVERAGE(H267,I267,K267)</f>
        <v>5.3</v>
      </c>
      <c r="O267" s="397">
        <v>2965</v>
      </c>
      <c r="P267" s="398">
        <v>1785</v>
      </c>
      <c r="Q267" s="397">
        <v>1445</v>
      </c>
      <c r="R267" s="397">
        <v>2620</v>
      </c>
      <c r="S267" s="397">
        <v>1506</v>
      </c>
      <c r="T267" s="397">
        <v>1530</v>
      </c>
      <c r="U267" s="397">
        <v>225</v>
      </c>
      <c r="V267" s="397">
        <v>225</v>
      </c>
      <c r="W267" s="397">
        <v>262</v>
      </c>
      <c r="X267" s="397">
        <v>260</v>
      </c>
      <c r="Y267" s="399">
        <f>S267-('FMTC Main'!$E$22-U267)</f>
        <v>1731</v>
      </c>
      <c r="Z267" s="399">
        <f>T267-('FMTC Main'!$E$27-V267)</f>
        <v>1755</v>
      </c>
      <c r="AA267" s="400" t="str">
        <f>A267&amp;" "&amp;B267&amp;" "&amp;C267</f>
        <v>2007 Honda Civic Type-R</v>
      </c>
    </row>
    <row r="268" spans="1:27" ht="12.95" customHeight="1">
      <c r="A268" s="394">
        <v>1995</v>
      </c>
      <c r="B268" s="394" t="s">
        <v>164</v>
      </c>
      <c r="C268" s="394" t="s">
        <v>289</v>
      </c>
      <c r="D268" s="395">
        <v>5000</v>
      </c>
      <c r="E268" s="394" t="s">
        <v>1085</v>
      </c>
      <c r="F268" s="394">
        <v>280</v>
      </c>
      <c r="G268" s="396">
        <v>3.7</v>
      </c>
      <c r="H268" s="396">
        <v>4.2</v>
      </c>
      <c r="I268" s="396">
        <v>5.6</v>
      </c>
      <c r="J268" s="396">
        <v>5.9</v>
      </c>
      <c r="K268" s="396">
        <v>4.0999999999999996</v>
      </c>
      <c r="L268" s="394" t="s">
        <v>1103</v>
      </c>
      <c r="M268" s="394"/>
      <c r="N268" s="389">
        <f>AVERAGE(H268,I268,K268)</f>
        <v>4.6333333333333337</v>
      </c>
      <c r="O268" s="397">
        <v>2491</v>
      </c>
      <c r="P268" s="398">
        <v>1695</v>
      </c>
      <c r="Q268" s="397">
        <v>1255</v>
      </c>
      <c r="R268" s="397">
        <v>2370</v>
      </c>
      <c r="S268" s="397">
        <v>1475</v>
      </c>
      <c r="T268" s="397">
        <v>1465</v>
      </c>
      <c r="U268" s="397">
        <v>195</v>
      </c>
      <c r="V268" s="397">
        <v>195</v>
      </c>
      <c r="W268" s="397">
        <v>240</v>
      </c>
      <c r="X268" s="397">
        <v>239</v>
      </c>
      <c r="Y268" s="399">
        <f>S268-('FMTC Main'!$E$22-U268)</f>
        <v>1670</v>
      </c>
      <c r="Z268" s="399">
        <f>T268-('FMTC Main'!$E$27-V268)</f>
        <v>1660</v>
      </c>
      <c r="AA268" s="400" t="str">
        <f>A268&amp;" "&amp;B268&amp;" "&amp;C268</f>
        <v>1995 Honda CR-X Del Sol SiR</v>
      </c>
    </row>
    <row r="269" spans="1:27" ht="12.95" customHeight="1">
      <c r="A269" s="394">
        <v>1991</v>
      </c>
      <c r="B269" s="394" t="s">
        <v>164</v>
      </c>
      <c r="C269" s="394" t="s">
        <v>168</v>
      </c>
      <c r="D269" s="395">
        <v>5000</v>
      </c>
      <c r="E269" s="394" t="s">
        <v>1085</v>
      </c>
      <c r="F269" s="394">
        <v>332</v>
      </c>
      <c r="G269" s="396">
        <v>5.0999999999999996</v>
      </c>
      <c r="H269" s="396">
        <v>4</v>
      </c>
      <c r="I269" s="396">
        <v>5.8</v>
      </c>
      <c r="J269" s="396">
        <v>6</v>
      </c>
      <c r="K269" s="396">
        <v>3.8</v>
      </c>
      <c r="L269" s="394" t="s">
        <v>1103</v>
      </c>
      <c r="M269" s="394"/>
      <c r="N269" s="389">
        <f>AVERAGE(H269,I269,K269)</f>
        <v>4.5333333333333341</v>
      </c>
      <c r="O269" s="397">
        <v>2161</v>
      </c>
      <c r="P269" s="398">
        <v>1675</v>
      </c>
      <c r="Q269" s="397">
        <v>1273</v>
      </c>
      <c r="R269" s="397">
        <v>2300</v>
      </c>
      <c r="S269" s="397">
        <v>1450</v>
      </c>
      <c r="T269" s="397">
        <v>1455</v>
      </c>
      <c r="U269" s="397">
        <v>195</v>
      </c>
      <c r="V269" s="397">
        <v>195</v>
      </c>
      <c r="W269" s="397">
        <v>242</v>
      </c>
      <c r="X269" s="397">
        <v>239</v>
      </c>
      <c r="Y269" s="399">
        <f>S269-('FMTC Main'!$E$22-U269)</f>
        <v>1645</v>
      </c>
      <c r="Z269" s="399">
        <f>T269-('FMTC Main'!$E$27-V269)</f>
        <v>1650</v>
      </c>
      <c r="AA269" s="400" t="str">
        <f>A269&amp;" "&amp;B269&amp;" "&amp;C269</f>
        <v>1991 Honda CR-X SiR</v>
      </c>
    </row>
    <row r="270" spans="1:27" ht="12.95" customHeight="1">
      <c r="A270" s="394">
        <v>2011</v>
      </c>
      <c r="B270" s="394" t="s">
        <v>164</v>
      </c>
      <c r="C270" s="394" t="s">
        <v>889</v>
      </c>
      <c r="D270" s="395">
        <v>21000</v>
      </c>
      <c r="E270" s="394" t="s">
        <v>1099</v>
      </c>
      <c r="F270" s="394">
        <v>189</v>
      </c>
      <c r="G270" s="396">
        <v>3</v>
      </c>
      <c r="H270" s="396">
        <v>4.5999999999999996</v>
      </c>
      <c r="I270" s="396">
        <v>4.3</v>
      </c>
      <c r="J270" s="396">
        <v>4.5999999999999996</v>
      </c>
      <c r="K270" s="396">
        <v>4.4000000000000004</v>
      </c>
      <c r="L270" s="394" t="s">
        <v>1103</v>
      </c>
      <c r="M270" s="394" t="s">
        <v>1090</v>
      </c>
      <c r="N270" s="389">
        <f>AVERAGE(H270,I270,K270)</f>
        <v>4.4333333333333327</v>
      </c>
      <c r="O270" s="397">
        <v>2520</v>
      </c>
      <c r="P270" s="398">
        <v>1740</v>
      </c>
      <c r="Q270" s="397">
        <v>1395</v>
      </c>
      <c r="R270" s="397">
        <v>2435</v>
      </c>
      <c r="S270" s="397">
        <v>1515</v>
      </c>
      <c r="T270" s="397">
        <v>1500</v>
      </c>
      <c r="U270" s="397">
        <v>185</v>
      </c>
      <c r="V270" s="397">
        <v>185</v>
      </c>
      <c r="W270" s="397">
        <v>262</v>
      </c>
      <c r="X270" s="397">
        <v>260</v>
      </c>
      <c r="Y270" s="399">
        <f>S270-('FMTC Main'!$E$22-U270)</f>
        <v>1700</v>
      </c>
      <c r="Z270" s="399">
        <f>T270-('FMTC Main'!$E$27-V270)</f>
        <v>1685</v>
      </c>
      <c r="AA270" s="400" t="str">
        <f>A270&amp;" "&amp;B270&amp;" "&amp;C270</f>
        <v>2011 Honda CR-Z EX</v>
      </c>
    </row>
    <row r="271" spans="1:27" ht="12.95" customHeight="1">
      <c r="A271" s="394">
        <v>2009</v>
      </c>
      <c r="B271" s="394" t="s">
        <v>164</v>
      </c>
      <c r="C271" s="394" t="s">
        <v>169</v>
      </c>
      <c r="D271" s="395">
        <v>12000</v>
      </c>
      <c r="E271" s="394" t="s">
        <v>1083</v>
      </c>
      <c r="F271" s="394">
        <v>212</v>
      </c>
      <c r="G271" s="396">
        <v>3</v>
      </c>
      <c r="H271" s="396">
        <v>4.4000000000000004</v>
      </c>
      <c r="I271" s="396">
        <v>4.5999999999999996</v>
      </c>
      <c r="J271" s="396">
        <v>5</v>
      </c>
      <c r="K271" s="396">
        <v>4.4000000000000004</v>
      </c>
      <c r="L271" s="394" t="s">
        <v>1103</v>
      </c>
      <c r="M271" s="394"/>
      <c r="N271" s="389">
        <f>AVERAGE(H271,I271,K271)</f>
        <v>4.4666666666666668</v>
      </c>
      <c r="O271" s="397">
        <v>2520</v>
      </c>
      <c r="P271" s="398">
        <v>1694</v>
      </c>
      <c r="Q271" s="397">
        <v>1524</v>
      </c>
      <c r="R271" s="397">
        <v>2500</v>
      </c>
      <c r="S271" s="397">
        <v>1491</v>
      </c>
      <c r="T271" s="397">
        <v>1476</v>
      </c>
      <c r="U271" s="397">
        <v>185</v>
      </c>
      <c r="V271" s="397">
        <v>185</v>
      </c>
      <c r="W271" s="397">
        <v>262</v>
      </c>
      <c r="X271" s="397">
        <v>198</v>
      </c>
      <c r="Y271" s="399">
        <f>S271-('FMTC Main'!$E$22-U271)</f>
        <v>1676</v>
      </c>
      <c r="Z271" s="399">
        <f>T271-('FMTC Main'!$E$27-V271)</f>
        <v>1661</v>
      </c>
      <c r="AA271" s="400" t="str">
        <f>A271&amp;" "&amp;B271&amp;" "&amp;C271</f>
        <v>2009 Honda Fit Sport</v>
      </c>
    </row>
    <row r="272" spans="1:27" ht="12.95" customHeight="1">
      <c r="A272" s="394">
        <v>2000</v>
      </c>
      <c r="B272" s="394" t="s">
        <v>164</v>
      </c>
      <c r="C272" s="394" t="s">
        <v>170</v>
      </c>
      <c r="D272" s="395">
        <v>8000</v>
      </c>
      <c r="E272" s="394" t="s">
        <v>1087</v>
      </c>
      <c r="F272" s="394">
        <v>393</v>
      </c>
      <c r="G272" s="396">
        <v>4.9000000000000004</v>
      </c>
      <c r="H272" s="396">
        <v>4.9000000000000004</v>
      </c>
      <c r="I272" s="396">
        <v>6</v>
      </c>
      <c r="J272" s="396">
        <v>6.3</v>
      </c>
      <c r="K272" s="396">
        <v>4.8</v>
      </c>
      <c r="L272" s="394" t="s">
        <v>1103</v>
      </c>
      <c r="M272" s="394"/>
      <c r="N272" s="389">
        <f>AVERAGE(H272,I272,K272)</f>
        <v>5.2333333333333334</v>
      </c>
      <c r="O272" s="397">
        <v>2639</v>
      </c>
      <c r="P272" s="398">
        <v>1695</v>
      </c>
      <c r="Q272" s="397">
        <v>1320</v>
      </c>
      <c r="R272" s="397">
        <v>2570</v>
      </c>
      <c r="S272" s="397">
        <v>1482</v>
      </c>
      <c r="T272" s="397">
        <v>1480</v>
      </c>
      <c r="U272" s="397">
        <v>195</v>
      </c>
      <c r="V272" s="397">
        <v>195</v>
      </c>
      <c r="W272" s="397">
        <v>282</v>
      </c>
      <c r="X272" s="397">
        <v>260</v>
      </c>
      <c r="Y272" s="399">
        <f>S272-('FMTC Main'!$E$22-U272)</f>
        <v>1677</v>
      </c>
      <c r="Z272" s="399">
        <f>T272-('FMTC Main'!$E$27-V272)</f>
        <v>1675</v>
      </c>
      <c r="AA272" s="400" t="str">
        <f>A272&amp;" "&amp;B272&amp;" "&amp;C272</f>
        <v>2000 Honda Integra Type-R</v>
      </c>
    </row>
    <row r="273" spans="1:27" ht="12.95" customHeight="1">
      <c r="A273" s="394">
        <v>2002</v>
      </c>
      <c r="B273" s="394" t="s">
        <v>164</v>
      </c>
      <c r="C273" s="394" t="s">
        <v>170</v>
      </c>
      <c r="D273" s="395">
        <v>12000</v>
      </c>
      <c r="E273" s="394" t="s">
        <v>1087</v>
      </c>
      <c r="F273" s="394">
        <v>391</v>
      </c>
      <c r="G273" s="396">
        <v>4.8</v>
      </c>
      <c r="H273" s="396">
        <v>4.8</v>
      </c>
      <c r="I273" s="396">
        <v>6.1</v>
      </c>
      <c r="J273" s="396">
        <v>6.3</v>
      </c>
      <c r="K273" s="396">
        <v>4.8</v>
      </c>
      <c r="L273" s="394" t="s">
        <v>1103</v>
      </c>
      <c r="M273" s="394"/>
      <c r="N273" s="389">
        <f>AVERAGE(H273,I273,K273)</f>
        <v>5.2333333333333334</v>
      </c>
      <c r="O273" s="397">
        <v>2624</v>
      </c>
      <c r="P273" s="397">
        <v>1725</v>
      </c>
      <c r="Q273" s="397">
        <v>1384</v>
      </c>
      <c r="R273" s="397">
        <v>2570</v>
      </c>
      <c r="S273" s="397">
        <v>1485</v>
      </c>
      <c r="T273" s="397">
        <v>1485</v>
      </c>
      <c r="U273" s="397">
        <v>215</v>
      </c>
      <c r="V273" s="397">
        <v>215</v>
      </c>
      <c r="W273" s="397">
        <v>300</v>
      </c>
      <c r="X273" s="397">
        <v>260</v>
      </c>
      <c r="Y273" s="399">
        <f>S273-('FMTC Main'!$E$22-U273)</f>
        <v>1700</v>
      </c>
      <c r="Z273" s="399">
        <f>T273-('FMTC Main'!$E$27-V273)</f>
        <v>1700</v>
      </c>
      <c r="AA273" s="400" t="str">
        <f>A273&amp;" "&amp;B273&amp;" "&amp;C273</f>
        <v>2002 Honda Integra Type-R</v>
      </c>
    </row>
    <row r="274" spans="1:27" ht="12.95" customHeight="1">
      <c r="A274" s="394">
        <v>2004</v>
      </c>
      <c r="B274" s="394" t="s">
        <v>164</v>
      </c>
      <c r="C274" s="394" t="s">
        <v>165</v>
      </c>
      <c r="D274" s="395"/>
      <c r="E274" s="394" t="s">
        <v>1087</v>
      </c>
      <c r="F274" s="394">
        <v>412</v>
      </c>
      <c r="G274" s="396">
        <v>5.4</v>
      </c>
      <c r="H274" s="396">
        <v>5</v>
      </c>
      <c r="I274" s="396">
        <v>6.1</v>
      </c>
      <c r="J274" s="396">
        <v>6.4</v>
      </c>
      <c r="K274" s="396">
        <v>4.9000000000000004</v>
      </c>
      <c r="L274" s="394" t="s">
        <v>1103</v>
      </c>
      <c r="M274" s="394" t="s">
        <v>1096</v>
      </c>
      <c r="N274" s="389">
        <f>AVERAGE(H274,I274,K274)</f>
        <v>5.333333333333333</v>
      </c>
      <c r="O274" s="397">
        <v>2718</v>
      </c>
      <c r="P274" s="398">
        <v>1695</v>
      </c>
      <c r="Q274" s="397">
        <v>1425</v>
      </c>
      <c r="R274" s="397">
        <v>2575</v>
      </c>
      <c r="S274" s="397">
        <v>1472</v>
      </c>
      <c r="T274" s="397">
        <v>1490</v>
      </c>
      <c r="U274" s="397">
        <v>225</v>
      </c>
      <c r="V274" s="397">
        <v>225</v>
      </c>
      <c r="W274" s="397">
        <v>300</v>
      </c>
      <c r="X274" s="397">
        <v>260</v>
      </c>
      <c r="Y274" s="399">
        <f>S274-('FMTC Main'!$E$22-U274)</f>
        <v>1697</v>
      </c>
      <c r="Z274" s="399">
        <f>T274-('FMTC Main'!$E$27-V274)</f>
        <v>1715</v>
      </c>
      <c r="AA274" s="400" t="str">
        <f>A274&amp;" "&amp;B274&amp;" "&amp;C274</f>
        <v>2004 Honda Mugen Civic Type-R</v>
      </c>
    </row>
    <row r="275" spans="1:27" ht="12.95" customHeight="1">
      <c r="A275" s="394">
        <v>2010</v>
      </c>
      <c r="B275" s="394" t="s">
        <v>164</v>
      </c>
      <c r="C275" s="394" t="s">
        <v>642</v>
      </c>
      <c r="D275" s="395">
        <v>55000</v>
      </c>
      <c r="E275" s="394" t="s">
        <v>1088</v>
      </c>
      <c r="F275" s="394">
        <v>446</v>
      </c>
      <c r="G275" s="396">
        <v>5.0999999999999996</v>
      </c>
      <c r="H275" s="396">
        <v>5.3</v>
      </c>
      <c r="I275" s="396">
        <v>6.4</v>
      </c>
      <c r="J275" s="396">
        <v>6.5</v>
      </c>
      <c r="K275" s="396">
        <v>5.2</v>
      </c>
      <c r="L275" s="394" t="s">
        <v>1103</v>
      </c>
      <c r="M275" s="394"/>
      <c r="N275" s="389">
        <f>AVERAGE(H275,I275,K275)</f>
        <v>5.6333333333333329</v>
      </c>
      <c r="O275" s="397">
        <v>2718</v>
      </c>
      <c r="P275" s="398">
        <v>1785</v>
      </c>
      <c r="Q275" s="397">
        <v>1445</v>
      </c>
      <c r="R275" s="397">
        <v>2620</v>
      </c>
      <c r="S275" s="397">
        <v>1506</v>
      </c>
      <c r="T275" s="397">
        <v>1530</v>
      </c>
      <c r="U275" s="397">
        <v>225</v>
      </c>
      <c r="V275" s="397">
        <v>225</v>
      </c>
      <c r="W275" s="397">
        <v>300</v>
      </c>
      <c r="X275" s="397">
        <v>260</v>
      </c>
      <c r="Y275" s="399">
        <f>S275-('FMTC Main'!$E$22-U275)</f>
        <v>1731</v>
      </c>
      <c r="Z275" s="399">
        <f>T275-('FMTC Main'!$E$27-V275)</f>
        <v>1755</v>
      </c>
      <c r="AA275" s="400" t="str">
        <f>A275&amp;" "&amp;B275&amp;" "&amp;C275</f>
        <v>2010 Honda Mugen Civic Type-R 3D</v>
      </c>
    </row>
    <row r="276" spans="1:27" ht="12.95" customHeight="1">
      <c r="A276" s="394">
        <v>2002</v>
      </c>
      <c r="B276" s="394" t="s">
        <v>164</v>
      </c>
      <c r="C276" s="394" t="s">
        <v>1045</v>
      </c>
      <c r="D276" s="395">
        <v>90000</v>
      </c>
      <c r="E276" s="394" t="s">
        <v>1088</v>
      </c>
      <c r="F276" s="394">
        <v>480</v>
      </c>
      <c r="G276" s="396">
        <v>6.5</v>
      </c>
      <c r="H276" s="396">
        <v>5.2</v>
      </c>
      <c r="I276" s="396">
        <v>7.2</v>
      </c>
      <c r="J276" s="396">
        <v>7.5</v>
      </c>
      <c r="K276" s="396">
        <v>5.0999999999999996</v>
      </c>
      <c r="L276" s="394" t="s">
        <v>1103</v>
      </c>
      <c r="M276" s="394" t="s">
        <v>1096</v>
      </c>
      <c r="N276" s="389">
        <f>AVERAGE(H276,I276,K276)</f>
        <v>5.833333333333333</v>
      </c>
      <c r="O276" s="397">
        <v>2711</v>
      </c>
      <c r="P276" s="398">
        <v>1811</v>
      </c>
      <c r="Q276" s="397">
        <v>1171</v>
      </c>
      <c r="R276" s="397">
        <v>2530</v>
      </c>
      <c r="S276" s="397">
        <v>1510</v>
      </c>
      <c r="T276" s="397">
        <v>1530</v>
      </c>
      <c r="U276" s="397">
        <v>205</v>
      </c>
      <c r="V276" s="397">
        <v>225</v>
      </c>
      <c r="W276" s="397">
        <v>282</v>
      </c>
      <c r="X276" s="397">
        <v>282</v>
      </c>
      <c r="Y276" s="399">
        <f>S276-('FMTC Main'!$E$22-U276)</f>
        <v>1715</v>
      </c>
      <c r="Z276" s="399">
        <f>T276-('FMTC Main'!$E$27-V276)</f>
        <v>1755</v>
      </c>
      <c r="AA276" s="400" t="str">
        <f>A276&amp;" "&amp;B276&amp;" "&amp;C276</f>
        <v>2002 Honda Mugen Integra Type-R</v>
      </c>
    </row>
    <row r="277" spans="1:27" ht="12.95" customHeight="1">
      <c r="A277" s="394">
        <v>1992</v>
      </c>
      <c r="B277" s="394" t="s">
        <v>164</v>
      </c>
      <c r="C277" s="394" t="s">
        <v>171</v>
      </c>
      <c r="D277" s="395">
        <v>120000</v>
      </c>
      <c r="E277" s="394" t="s">
        <v>349</v>
      </c>
      <c r="F277" s="394">
        <v>515</v>
      </c>
      <c r="G277" s="396">
        <v>6.9</v>
      </c>
      <c r="H277" s="396">
        <v>5.6</v>
      </c>
      <c r="I277" s="396">
        <v>7.3</v>
      </c>
      <c r="J277" s="396">
        <v>7.6</v>
      </c>
      <c r="K277" s="396">
        <v>5.4</v>
      </c>
      <c r="L277" s="394" t="s">
        <v>1103</v>
      </c>
      <c r="M277" s="394"/>
      <c r="N277" s="389">
        <f>AVERAGE(H277,I277,K277)</f>
        <v>6.0999999999999988</v>
      </c>
      <c r="O277" s="397">
        <v>2800</v>
      </c>
      <c r="P277" s="398">
        <v>1810</v>
      </c>
      <c r="Q277" s="397">
        <v>1160</v>
      </c>
      <c r="R277" s="397">
        <v>2530</v>
      </c>
      <c r="S277" s="397">
        <v>1510</v>
      </c>
      <c r="T277" s="397">
        <v>1540</v>
      </c>
      <c r="U277" s="397">
        <v>215</v>
      </c>
      <c r="V277" s="397">
        <v>255</v>
      </c>
      <c r="W277" s="397">
        <v>298</v>
      </c>
      <c r="X277" s="397">
        <v>303</v>
      </c>
      <c r="Y277" s="399">
        <f>S277-('FMTC Main'!$E$22-U277)</f>
        <v>1725</v>
      </c>
      <c r="Z277" s="399">
        <f>T277-('FMTC Main'!$E$27-V277)</f>
        <v>1795</v>
      </c>
      <c r="AA277" s="400" t="str">
        <f>A277&amp;" "&amp;B277&amp;" "&amp;C277</f>
        <v>1992 Honda NSX-R</v>
      </c>
    </row>
    <row r="278" spans="1:27" ht="12.95" customHeight="1">
      <c r="A278" s="394">
        <v>2005</v>
      </c>
      <c r="B278" s="394" t="s">
        <v>164</v>
      </c>
      <c r="C278" s="394" t="s">
        <v>171</v>
      </c>
      <c r="D278" s="395"/>
      <c r="E278" s="394" t="s">
        <v>349</v>
      </c>
      <c r="F278" s="394">
        <v>529</v>
      </c>
      <c r="G278" s="396">
        <v>6.5</v>
      </c>
      <c r="H278" s="396">
        <v>5.9</v>
      </c>
      <c r="I278" s="396">
        <v>7.4</v>
      </c>
      <c r="J278" s="396">
        <v>7.7</v>
      </c>
      <c r="K278" s="396">
        <v>5.8</v>
      </c>
      <c r="L278" s="394" t="s">
        <v>1103</v>
      </c>
      <c r="M278" s="394"/>
      <c r="N278" s="389">
        <f>AVERAGE(H278,I278,K278)</f>
        <v>6.3666666666666671</v>
      </c>
      <c r="O278" s="397">
        <v>2800</v>
      </c>
      <c r="P278" s="398">
        <v>1810</v>
      </c>
      <c r="Q278" s="397">
        <v>1160</v>
      </c>
      <c r="R278" s="397">
        <v>2530</v>
      </c>
      <c r="S278" s="397">
        <v>1510</v>
      </c>
      <c r="T278" s="397">
        <v>1540</v>
      </c>
      <c r="U278" s="397">
        <v>215</v>
      </c>
      <c r="V278" s="397">
        <v>255</v>
      </c>
      <c r="W278" s="397">
        <v>298</v>
      </c>
      <c r="X278" s="397">
        <v>303</v>
      </c>
      <c r="Y278" s="399">
        <f>S278-('FMTC Main'!$E$22-U278)</f>
        <v>1725</v>
      </c>
      <c r="Z278" s="399">
        <f>T278-('FMTC Main'!$E$27-V278)</f>
        <v>1795</v>
      </c>
      <c r="AA278" s="400" t="str">
        <f>A278&amp;" "&amp;B278&amp;" "&amp;C278</f>
        <v>2005 Honda NSX-R</v>
      </c>
    </row>
    <row r="279" spans="1:27" ht="12.95" customHeight="1">
      <c r="A279" s="394">
        <v>2005</v>
      </c>
      <c r="B279" s="394" t="s">
        <v>164</v>
      </c>
      <c r="C279" s="394" t="s">
        <v>1046</v>
      </c>
      <c r="D279" s="395">
        <v>6000</v>
      </c>
      <c r="E279" s="394" t="s">
        <v>1085</v>
      </c>
      <c r="F279" s="394">
        <v>348</v>
      </c>
      <c r="G279" s="396">
        <v>4.8</v>
      </c>
      <c r="H279" s="396">
        <v>4.8</v>
      </c>
      <c r="I279" s="396">
        <v>5.5</v>
      </c>
      <c r="J279" s="396">
        <v>5.9</v>
      </c>
      <c r="K279" s="396">
        <v>4.5999999999999996</v>
      </c>
      <c r="L279" s="394" t="s">
        <v>1103</v>
      </c>
      <c r="M279" s="394" t="s">
        <v>1096</v>
      </c>
      <c r="N279" s="389">
        <f>AVERAGE(H279,I279,K279)</f>
        <v>4.9666666666666668</v>
      </c>
      <c r="O279" s="397">
        <v>2778</v>
      </c>
      <c r="P279" s="398">
        <v>1750</v>
      </c>
      <c r="Q279" s="397">
        <v>1315</v>
      </c>
      <c r="R279" s="397">
        <v>2585</v>
      </c>
      <c r="S279" s="397">
        <v>1525</v>
      </c>
      <c r="T279" s="397">
        <v>1515</v>
      </c>
      <c r="U279" s="397">
        <v>205</v>
      </c>
      <c r="V279" s="397">
        <v>205</v>
      </c>
      <c r="W279" s="397">
        <v>282</v>
      </c>
      <c r="X279" s="397">
        <v>260</v>
      </c>
      <c r="Y279" s="399">
        <f>S279-('FMTC Main'!$E$22-U279)</f>
        <v>1730</v>
      </c>
      <c r="Z279" s="399">
        <f>T279-('FMTC Main'!$E$27-V279)</f>
        <v>1720</v>
      </c>
      <c r="AA279" s="400" t="str">
        <f>A279&amp;" "&amp;B279&amp;" "&amp;C279</f>
        <v>2005 Honda NSX-R GT</v>
      </c>
    </row>
    <row r="280" spans="1:27" ht="12.95" customHeight="1">
      <c r="A280" s="394">
        <v>2000</v>
      </c>
      <c r="B280" s="394" t="s">
        <v>164</v>
      </c>
      <c r="C280" s="394" t="s">
        <v>290</v>
      </c>
      <c r="D280" s="395">
        <v>14000</v>
      </c>
      <c r="E280" s="394" t="s">
        <v>1088</v>
      </c>
      <c r="F280" s="394">
        <v>435</v>
      </c>
      <c r="G280" s="396">
        <v>6</v>
      </c>
      <c r="H280" s="396">
        <v>5.0999999999999996</v>
      </c>
      <c r="I280" s="396">
        <v>6.6</v>
      </c>
      <c r="J280" s="396">
        <v>6.6</v>
      </c>
      <c r="K280" s="396">
        <v>5</v>
      </c>
      <c r="L280" s="394" t="s">
        <v>1103</v>
      </c>
      <c r="M280" s="394"/>
      <c r="N280" s="389">
        <f>AVERAGE(H280,I280,K280)</f>
        <v>5.5666666666666664</v>
      </c>
      <c r="O280" s="397">
        <v>2756</v>
      </c>
      <c r="P280" s="398">
        <v>1750</v>
      </c>
      <c r="Q280" s="397">
        <v>1285</v>
      </c>
      <c r="R280" s="397">
        <v>2400</v>
      </c>
      <c r="S280" s="397">
        <v>1470</v>
      </c>
      <c r="T280" s="397">
        <v>1510</v>
      </c>
      <c r="U280" s="397">
        <v>205</v>
      </c>
      <c r="V280" s="397">
        <v>225</v>
      </c>
      <c r="W280" s="397">
        <v>300</v>
      </c>
      <c r="X280" s="397">
        <v>282</v>
      </c>
      <c r="Y280" s="399">
        <f>S280-('FMTC Main'!$E$22-U280)</f>
        <v>1675</v>
      </c>
      <c r="Z280" s="399">
        <f>T280-('FMTC Main'!$E$27-V280)</f>
        <v>1735</v>
      </c>
      <c r="AA280" s="400" t="str">
        <f>A280&amp;" "&amp;B280&amp;" "&amp;C280</f>
        <v>2000 Honda Prelude SiR</v>
      </c>
    </row>
    <row r="281" spans="1:27" ht="12.95" customHeight="1">
      <c r="A281" s="394">
        <v>2003</v>
      </c>
      <c r="B281" s="394" t="s">
        <v>164</v>
      </c>
      <c r="C281" s="394" t="s">
        <v>172</v>
      </c>
      <c r="D281" s="395">
        <v>14000</v>
      </c>
      <c r="E281" s="394" t="s">
        <v>1088</v>
      </c>
      <c r="F281" s="394">
        <v>435</v>
      </c>
      <c r="G281" s="396">
        <v>5.0999999999999996</v>
      </c>
      <c r="H281" s="396">
        <v>5.5</v>
      </c>
      <c r="I281" s="396">
        <v>6.2</v>
      </c>
      <c r="J281" s="396">
        <v>6.5</v>
      </c>
      <c r="K281" s="396">
        <v>5.3</v>
      </c>
      <c r="L281" s="394" t="s">
        <v>1103</v>
      </c>
      <c r="M281" s="394"/>
      <c r="N281" s="389">
        <f>AVERAGE(H281,I281,K281)</f>
        <v>5.666666666666667</v>
      </c>
      <c r="O281" s="397">
        <v>2624</v>
      </c>
      <c r="P281" s="398">
        <v>1725</v>
      </c>
      <c r="Q281" s="397">
        <v>1385</v>
      </c>
      <c r="R281" s="397">
        <v>2570</v>
      </c>
      <c r="S281" s="397">
        <v>1490</v>
      </c>
      <c r="T281" s="397">
        <v>1490</v>
      </c>
      <c r="U281" s="397">
        <v>215</v>
      </c>
      <c r="V281" s="397">
        <v>215</v>
      </c>
      <c r="W281" s="397">
        <v>282</v>
      </c>
      <c r="X281" s="397">
        <v>260</v>
      </c>
      <c r="Y281" s="399">
        <f>S281-('FMTC Main'!$E$22-U281)</f>
        <v>1705</v>
      </c>
      <c r="Z281" s="399">
        <f>T281-('FMTC Main'!$E$27-V281)</f>
        <v>1705</v>
      </c>
      <c r="AA281" s="400" t="str">
        <f>A281&amp;" "&amp;B281&amp;" "&amp;C281</f>
        <v>2003 Honda S2000</v>
      </c>
    </row>
    <row r="282" spans="1:27" ht="12.95" customHeight="1">
      <c r="A282" s="394">
        <v>2006</v>
      </c>
      <c r="B282" s="394" t="s">
        <v>890</v>
      </c>
      <c r="C282" s="394" t="s">
        <v>891</v>
      </c>
      <c r="D282" s="395">
        <v>120000</v>
      </c>
      <c r="E282" s="394" t="s">
        <v>1099</v>
      </c>
      <c r="F282" s="394">
        <v>151</v>
      </c>
      <c r="G282" s="396">
        <v>3</v>
      </c>
      <c r="H282" s="396">
        <v>3.8</v>
      </c>
      <c r="I282" s="396">
        <v>3.4</v>
      </c>
      <c r="J282" s="396">
        <v>3.5</v>
      </c>
      <c r="K282" s="396">
        <v>4</v>
      </c>
      <c r="L282" s="394" t="s">
        <v>1075</v>
      </c>
      <c r="M282" s="394"/>
      <c r="N282" s="389">
        <f>AVERAGE(H282,I282,K282)</f>
        <v>3.7333333333333329</v>
      </c>
      <c r="O282" s="397">
        <v>8114</v>
      </c>
      <c r="P282" s="398">
        <v>2200</v>
      </c>
      <c r="Q282" s="397">
        <v>1960</v>
      </c>
      <c r="R282" s="397">
        <v>3302</v>
      </c>
      <c r="S282" s="397">
        <v>1819</v>
      </c>
      <c r="T282" s="397">
        <v>1819</v>
      </c>
      <c r="U282" s="397">
        <v>315</v>
      </c>
      <c r="V282" s="397">
        <v>315</v>
      </c>
      <c r="W282" s="397">
        <v>305</v>
      </c>
      <c r="X282" s="397">
        <v>305</v>
      </c>
      <c r="Y282" s="399">
        <f>S282-('FMTC Main'!$E$22-U282)</f>
        <v>2134</v>
      </c>
      <c r="Z282" s="399">
        <f>T282-('FMTC Main'!$E$27-V282)</f>
        <v>2134</v>
      </c>
      <c r="AA282" s="400" t="str">
        <f>A282&amp;" "&amp;B282&amp;" "&amp;C282</f>
        <v>2006 Hummer H1 Alpha</v>
      </c>
    </row>
    <row r="283" spans="1:27" ht="12.95" customHeight="1">
      <c r="A283" s="402">
        <v>2011</v>
      </c>
      <c r="B283" s="402" t="s">
        <v>173</v>
      </c>
      <c r="C283" s="402" t="s">
        <v>1174</v>
      </c>
      <c r="D283" s="403">
        <v>350000</v>
      </c>
      <c r="E283" s="402" t="s">
        <v>1092</v>
      </c>
      <c r="F283" s="402">
        <v>693</v>
      </c>
      <c r="G283" s="404">
        <v>4.3</v>
      </c>
      <c r="H283" s="404">
        <v>6</v>
      </c>
      <c r="I283" s="404">
        <v>8.9</v>
      </c>
      <c r="J283" s="404">
        <v>9.9</v>
      </c>
      <c r="K283" s="404">
        <v>6</v>
      </c>
      <c r="L283" s="402" t="s">
        <v>1104</v>
      </c>
      <c r="M283" s="402" t="s">
        <v>1173</v>
      </c>
      <c r="N283" s="389">
        <f>AVERAGE(H283,I283,K283)</f>
        <v>6.9666666666666659</v>
      </c>
      <c r="O283" s="405">
        <v>2866</v>
      </c>
      <c r="P283" s="405">
        <v>1791</v>
      </c>
      <c r="Q283" s="405">
        <v>1399</v>
      </c>
      <c r="R283" s="405">
        <v>2650</v>
      </c>
      <c r="S283" s="405">
        <v>1587</v>
      </c>
      <c r="T283" s="405">
        <v>1600</v>
      </c>
      <c r="U283" s="405">
        <v>245</v>
      </c>
      <c r="V283" s="405">
        <v>245</v>
      </c>
      <c r="W283" s="405">
        <v>356</v>
      </c>
      <c r="X283" s="405">
        <v>305</v>
      </c>
      <c r="Y283" s="406">
        <f>S283-('FMTC Main'!$E$22-U283)</f>
        <v>1832</v>
      </c>
      <c r="Z283" s="406">
        <f>T283-('FMTC Main'!$E$27-V283)</f>
        <v>1845</v>
      </c>
      <c r="AA283" s="400" t="str">
        <f>A283&amp;" "&amp;B283&amp;" "&amp;C283</f>
        <v xml:space="preserve">2011 Hyundai #67 Rhys Millen Racing Veloster </v>
      </c>
    </row>
    <row r="284" spans="1:27" ht="12.95" customHeight="1">
      <c r="A284" s="394">
        <v>2010</v>
      </c>
      <c r="B284" s="394" t="s">
        <v>173</v>
      </c>
      <c r="C284" s="394" t="s">
        <v>697</v>
      </c>
      <c r="D284" s="395">
        <v>1500000</v>
      </c>
      <c r="E284" s="394" t="s">
        <v>1091</v>
      </c>
      <c r="F284" s="394">
        <v>859</v>
      </c>
      <c r="G284" s="396">
        <v>6.8</v>
      </c>
      <c r="H284" s="396">
        <v>9.1999999999999993</v>
      </c>
      <c r="I284" s="396">
        <v>9.1999999999999993</v>
      </c>
      <c r="J284" s="396">
        <v>8.1999999999999993</v>
      </c>
      <c r="K284" s="396">
        <v>9.1999999999999993</v>
      </c>
      <c r="L284" s="394" t="s">
        <v>1104</v>
      </c>
      <c r="M284" s="394"/>
      <c r="N284" s="389">
        <f>AVERAGE(H284,I284,K284)</f>
        <v>9.1999999999999993</v>
      </c>
      <c r="O284" s="397">
        <v>2400</v>
      </c>
      <c r="P284" s="398">
        <v>1865</v>
      </c>
      <c r="Q284" s="397">
        <v>1385</v>
      </c>
      <c r="R284" s="397">
        <v>2819</v>
      </c>
      <c r="S284" s="397">
        <v>1599</v>
      </c>
      <c r="T284" s="397">
        <v>1615</v>
      </c>
      <c r="U284" s="397">
        <v>330</v>
      </c>
      <c r="V284" s="397">
        <v>330</v>
      </c>
      <c r="W284" s="397">
        <v>345</v>
      </c>
      <c r="X284" s="397">
        <v>314</v>
      </c>
      <c r="Y284" s="399">
        <f>S284-('FMTC Main'!$E$22-U284)</f>
        <v>1929</v>
      </c>
      <c r="Z284" s="399">
        <f>T284-('FMTC Main'!$E$27-V284)</f>
        <v>1945</v>
      </c>
      <c r="AA284" s="400" t="str">
        <f>A284&amp;" "&amp;B284&amp;" "&amp;C284</f>
        <v>2010 Hyundai Forza Motorsport Genesis Coupe</v>
      </c>
    </row>
    <row r="285" spans="1:27" ht="12.95" customHeight="1">
      <c r="A285" s="394">
        <v>2010</v>
      </c>
      <c r="B285" s="394" t="s">
        <v>173</v>
      </c>
      <c r="C285" s="394" t="s">
        <v>174</v>
      </c>
      <c r="D285" s="395">
        <v>26000</v>
      </c>
      <c r="E285" s="394" t="s">
        <v>1087</v>
      </c>
      <c r="F285" s="394">
        <v>411</v>
      </c>
      <c r="G285" s="396">
        <v>6.4</v>
      </c>
      <c r="H285" s="396">
        <v>4.8</v>
      </c>
      <c r="I285" s="396">
        <v>6.5</v>
      </c>
      <c r="J285" s="396">
        <v>6.5</v>
      </c>
      <c r="K285" s="396">
        <v>4.5999999999999996</v>
      </c>
      <c r="L285" s="394" t="s">
        <v>1104</v>
      </c>
      <c r="M285" s="394"/>
      <c r="N285" s="389">
        <f>AVERAGE(H285,I285,K285)</f>
        <v>5.3</v>
      </c>
      <c r="O285" s="397">
        <v>3549</v>
      </c>
      <c r="P285" s="398">
        <v>1865</v>
      </c>
      <c r="Q285" s="397">
        <v>1385</v>
      </c>
      <c r="R285" s="397">
        <v>2819</v>
      </c>
      <c r="S285" s="397">
        <v>1599</v>
      </c>
      <c r="T285" s="397">
        <v>1615</v>
      </c>
      <c r="U285" s="397">
        <v>225</v>
      </c>
      <c r="V285" s="397">
        <v>245</v>
      </c>
      <c r="W285" s="397">
        <v>320</v>
      </c>
      <c r="X285" s="397">
        <v>314</v>
      </c>
      <c r="Y285" s="399">
        <f>S285-('FMTC Main'!$E$22-U285)</f>
        <v>1824</v>
      </c>
      <c r="Z285" s="399">
        <f>T285-('FMTC Main'!$E$27-V285)</f>
        <v>1860</v>
      </c>
      <c r="AA285" s="400" t="str">
        <f>A285&amp;" "&amp;B285&amp;" "&amp;C285</f>
        <v>2010 Hyundai Genesis Coupe</v>
      </c>
    </row>
    <row r="286" spans="1:27" ht="12.95" customHeight="1">
      <c r="A286" s="394">
        <v>2011</v>
      </c>
      <c r="B286" s="394" t="s">
        <v>173</v>
      </c>
      <c r="C286" s="394" t="s">
        <v>893</v>
      </c>
      <c r="D286" s="395">
        <v>10000</v>
      </c>
      <c r="E286" s="394" t="s">
        <v>1099</v>
      </c>
      <c r="F286" s="394">
        <v>114</v>
      </c>
      <c r="G286" s="396">
        <v>3</v>
      </c>
      <c r="H286" s="396">
        <v>4.4000000000000004</v>
      </c>
      <c r="I286" s="396">
        <v>3.1</v>
      </c>
      <c r="J286" s="396">
        <v>3.2</v>
      </c>
      <c r="K286" s="396">
        <v>4.3</v>
      </c>
      <c r="L286" s="394" t="s">
        <v>1104</v>
      </c>
      <c r="M286" s="394"/>
      <c r="N286" s="389">
        <f>AVERAGE(H286,I286,K286)</f>
        <v>3.9333333333333336</v>
      </c>
      <c r="O286" s="397">
        <v>2795</v>
      </c>
      <c r="P286" s="398">
        <v>1765</v>
      </c>
      <c r="Q286" s="397">
        <v>1600</v>
      </c>
      <c r="R286" s="397">
        <v>2615</v>
      </c>
      <c r="S286" s="397">
        <v>1553</v>
      </c>
      <c r="T286" s="397">
        <v>1557</v>
      </c>
      <c r="U286" s="397">
        <v>195</v>
      </c>
      <c r="V286" s="397">
        <v>195</v>
      </c>
      <c r="W286" s="397">
        <v>280</v>
      </c>
      <c r="X286" s="397">
        <v>257</v>
      </c>
      <c r="Y286" s="399">
        <f>S286-('FMTC Main'!$E$22-U286)</f>
        <v>1748</v>
      </c>
      <c r="Z286" s="399">
        <f>T286-('FMTC Main'!$E$27-V286)</f>
        <v>1752</v>
      </c>
      <c r="AA286" s="400" t="str">
        <f>A286&amp;" "&amp;B286&amp;" "&amp;C286</f>
        <v>2011 Hyundai ix20</v>
      </c>
    </row>
    <row r="287" spans="1:27" ht="12.95" customHeight="1">
      <c r="A287" s="394">
        <v>2010</v>
      </c>
      <c r="B287" s="394" t="s">
        <v>173</v>
      </c>
      <c r="C287" s="394" t="s">
        <v>892</v>
      </c>
      <c r="D287" s="395">
        <v>240000</v>
      </c>
      <c r="E287" s="394" t="s">
        <v>1092</v>
      </c>
      <c r="F287" s="394">
        <v>670</v>
      </c>
      <c r="G287" s="396">
        <v>5.7</v>
      </c>
      <c r="H287" s="396">
        <v>6.3</v>
      </c>
      <c r="I287" s="396">
        <v>8.6999999999999993</v>
      </c>
      <c r="J287" s="396">
        <v>7.6</v>
      </c>
      <c r="K287" s="396">
        <v>6.4</v>
      </c>
      <c r="L287" s="394" t="s">
        <v>1104</v>
      </c>
      <c r="M287" s="394"/>
      <c r="N287" s="389">
        <f>AVERAGE(H287,I287,K287)</f>
        <v>7.1333333333333329</v>
      </c>
      <c r="O287" s="397">
        <v>2665</v>
      </c>
      <c r="P287" s="398">
        <v>1864</v>
      </c>
      <c r="Q287" s="397">
        <v>1384</v>
      </c>
      <c r="R287" s="397">
        <v>2819</v>
      </c>
      <c r="S287" s="397">
        <v>1600</v>
      </c>
      <c r="T287" s="397">
        <v>1615</v>
      </c>
      <c r="U287" s="397">
        <v>245</v>
      </c>
      <c r="V287" s="397">
        <v>265</v>
      </c>
      <c r="W287" s="397">
        <v>356</v>
      </c>
      <c r="X287" s="397">
        <v>345</v>
      </c>
      <c r="Y287" s="399">
        <f>S287-('FMTC Main'!$E$22-U287)</f>
        <v>1845</v>
      </c>
      <c r="Z287" s="399">
        <f>T287-('FMTC Main'!$E$27-V287)</f>
        <v>1880</v>
      </c>
      <c r="AA287" s="400" t="str">
        <f>A287&amp;" "&amp;B287&amp;" "&amp;C287</f>
        <v>2010 Hyundai Rhys Millen Racing Red Bull Genesis Coupe</v>
      </c>
    </row>
    <row r="288" spans="1:27" ht="12.95" customHeight="1">
      <c r="A288" s="394">
        <v>2003</v>
      </c>
      <c r="B288" s="394" t="s">
        <v>173</v>
      </c>
      <c r="C288" s="394" t="s">
        <v>175</v>
      </c>
      <c r="D288" s="395">
        <v>8000</v>
      </c>
      <c r="E288" s="394" t="s">
        <v>1085</v>
      </c>
      <c r="F288" s="394">
        <v>289</v>
      </c>
      <c r="G288" s="396">
        <v>4</v>
      </c>
      <c r="H288" s="396">
        <v>4.7</v>
      </c>
      <c r="I288" s="396">
        <v>5.2</v>
      </c>
      <c r="J288" s="396">
        <v>5.7</v>
      </c>
      <c r="K288" s="396">
        <v>4.5999999999999996</v>
      </c>
      <c r="L288" s="394" t="s">
        <v>1104</v>
      </c>
      <c r="M288" s="394"/>
      <c r="N288" s="389">
        <f>AVERAGE(H288,I288,K288)</f>
        <v>4.833333333333333</v>
      </c>
      <c r="O288" s="397">
        <v>3050</v>
      </c>
      <c r="P288" s="398">
        <v>1760</v>
      </c>
      <c r="Q288" s="397">
        <v>1328</v>
      </c>
      <c r="R288" s="397">
        <v>2530</v>
      </c>
      <c r="S288" s="397">
        <v>1491</v>
      </c>
      <c r="T288" s="397">
        <v>1491</v>
      </c>
      <c r="U288" s="397">
        <v>185</v>
      </c>
      <c r="V288" s="397">
        <v>215</v>
      </c>
      <c r="W288" s="397">
        <v>280</v>
      </c>
      <c r="X288" s="397">
        <v>259</v>
      </c>
      <c r="Y288" s="399">
        <f>S288-('FMTC Main'!$E$22-U288)</f>
        <v>1676</v>
      </c>
      <c r="Z288" s="399">
        <f>T288-('FMTC Main'!$E$27-V288)</f>
        <v>1706</v>
      </c>
      <c r="AA288" s="400" t="str">
        <f>A288&amp;" "&amp;B288&amp;" "&amp;C288</f>
        <v>2003 Hyundai Tuscani Elisa</v>
      </c>
    </row>
    <row r="289" spans="1:27" ht="12.95" customHeight="1">
      <c r="A289" s="402">
        <v>2013</v>
      </c>
      <c r="B289" s="402" t="s">
        <v>173</v>
      </c>
      <c r="C289" s="402" t="s">
        <v>1172</v>
      </c>
      <c r="D289" s="403">
        <v>22000</v>
      </c>
      <c r="E289" s="402" t="s">
        <v>1087</v>
      </c>
      <c r="F289" s="402">
        <v>355</v>
      </c>
      <c r="G289" s="404">
        <v>4.5</v>
      </c>
      <c r="H289" s="404">
        <v>4.8</v>
      </c>
      <c r="I289" s="404">
        <v>5.7</v>
      </c>
      <c r="J289" s="404">
        <v>6</v>
      </c>
      <c r="K289" s="404">
        <v>4.5999999999999996</v>
      </c>
      <c r="L289" s="402" t="s">
        <v>1104</v>
      </c>
      <c r="M289" s="402" t="s">
        <v>1173</v>
      </c>
      <c r="N289" s="389">
        <f>AVERAGE(H289,I289,K289)</f>
        <v>5.0333333333333332</v>
      </c>
      <c r="O289" s="405">
        <v>2767</v>
      </c>
      <c r="P289" s="405">
        <v>1790</v>
      </c>
      <c r="Q289" s="405">
        <v>1400</v>
      </c>
      <c r="R289" s="405">
        <v>2650</v>
      </c>
      <c r="S289" s="405">
        <v>1562</v>
      </c>
      <c r="T289" s="405">
        <v>1575</v>
      </c>
      <c r="U289" s="405">
        <v>215</v>
      </c>
      <c r="V289" s="405">
        <v>215</v>
      </c>
      <c r="W289" s="405">
        <v>300</v>
      </c>
      <c r="X289" s="405">
        <v>262</v>
      </c>
      <c r="Y289" s="406">
        <f>S289-('FMTC Main'!$E$22-U289)</f>
        <v>1777</v>
      </c>
      <c r="Z289" s="406">
        <f>T289-('FMTC Main'!$E$27-V289)</f>
        <v>1790</v>
      </c>
      <c r="AA289" s="400" t="str">
        <f>A289&amp;" "&amp;B289&amp;" "&amp;C289</f>
        <v>2013 Hyundai Veloster Turbo</v>
      </c>
    </row>
    <row r="290" spans="1:27" ht="12.95" customHeight="1">
      <c r="A290" s="394">
        <v>2003</v>
      </c>
      <c r="B290" s="394" t="s">
        <v>176</v>
      </c>
      <c r="C290" s="394" t="s">
        <v>894</v>
      </c>
      <c r="D290" s="395">
        <v>16000</v>
      </c>
      <c r="E290" s="394" t="s">
        <v>1087</v>
      </c>
      <c r="F290" s="394">
        <v>421</v>
      </c>
      <c r="G290" s="396">
        <v>6.7</v>
      </c>
      <c r="H290" s="396">
        <v>4.9000000000000004</v>
      </c>
      <c r="I290" s="396">
        <v>6.4</v>
      </c>
      <c r="J290" s="396">
        <v>6.9</v>
      </c>
      <c r="K290" s="396">
        <v>4.8</v>
      </c>
      <c r="L290" s="394" t="s">
        <v>1075</v>
      </c>
      <c r="M290" s="394"/>
      <c r="N290" s="389">
        <f>AVERAGE(H290,I290,K290)</f>
        <v>5.3666666666666671</v>
      </c>
      <c r="O290" s="397">
        <v>3485</v>
      </c>
      <c r="P290" s="398">
        <v>1816</v>
      </c>
      <c r="Q290" s="397">
        <v>1392</v>
      </c>
      <c r="R290" s="397">
        <v>2850</v>
      </c>
      <c r="S290" s="397">
        <v>1534</v>
      </c>
      <c r="T290" s="397">
        <v>1539</v>
      </c>
      <c r="U290" s="397">
        <v>225</v>
      </c>
      <c r="V290" s="397">
        <v>245</v>
      </c>
      <c r="W290" s="397">
        <v>296</v>
      </c>
      <c r="X290" s="397">
        <v>292</v>
      </c>
      <c r="Y290" s="399">
        <f>S290-('FMTC Main'!$E$22-U290)</f>
        <v>1759</v>
      </c>
      <c r="Z290" s="399">
        <f>T290-('FMTC Main'!$E$27-V290)</f>
        <v>1784</v>
      </c>
      <c r="AA290" s="400" t="str">
        <f>A290&amp;" "&amp;B290&amp;" "&amp;C290</f>
        <v>2003 Infiniti G35</v>
      </c>
    </row>
    <row r="291" spans="1:27" ht="12.95" customHeight="1">
      <c r="A291" s="394">
        <v>2008</v>
      </c>
      <c r="B291" s="394" t="s">
        <v>176</v>
      </c>
      <c r="C291" s="394" t="s">
        <v>177</v>
      </c>
      <c r="D291" s="395">
        <v>32000</v>
      </c>
      <c r="E291" s="394" t="s">
        <v>1088</v>
      </c>
      <c r="F291" s="394">
        <v>442</v>
      </c>
      <c r="G291" s="396">
        <v>7.1</v>
      </c>
      <c r="H291" s="396">
        <v>4.9000000000000004</v>
      </c>
      <c r="I291" s="396">
        <v>6.7</v>
      </c>
      <c r="J291" s="396">
        <v>6.9</v>
      </c>
      <c r="K291" s="396">
        <v>4.8</v>
      </c>
      <c r="L291" s="394" t="s">
        <v>1075</v>
      </c>
      <c r="M291" s="394"/>
      <c r="N291" s="389">
        <f>AVERAGE(H291,I291,K291)</f>
        <v>5.4666666666666677</v>
      </c>
      <c r="O291" s="397">
        <v>3668</v>
      </c>
      <c r="P291" s="398">
        <v>1824</v>
      </c>
      <c r="Q291" s="397">
        <v>1392</v>
      </c>
      <c r="R291" s="397">
        <v>2850</v>
      </c>
      <c r="S291" s="397">
        <v>1547</v>
      </c>
      <c r="T291" s="397">
        <v>1562</v>
      </c>
      <c r="U291" s="397">
        <v>225</v>
      </c>
      <c r="V291" s="397">
        <v>225</v>
      </c>
      <c r="W291" s="397">
        <v>330</v>
      </c>
      <c r="X291" s="397">
        <v>330</v>
      </c>
      <c r="Y291" s="399">
        <f>S291-('FMTC Main'!$E$22-U291)</f>
        <v>1772</v>
      </c>
      <c r="Z291" s="399">
        <f>T291-('FMTC Main'!$E$27-V291)</f>
        <v>1787</v>
      </c>
      <c r="AA291" s="400" t="str">
        <f>A291&amp;" "&amp;B291&amp;" "&amp;C291</f>
        <v>2008 Infiniti G37 Coupe Sport</v>
      </c>
    </row>
    <row r="292" spans="1:27" ht="12.95" customHeight="1">
      <c r="A292" s="394">
        <v>2010</v>
      </c>
      <c r="B292" s="394" t="s">
        <v>178</v>
      </c>
      <c r="C292" s="394" t="s">
        <v>896</v>
      </c>
      <c r="D292" s="395">
        <v>1000000</v>
      </c>
      <c r="E292" s="394" t="s">
        <v>1094</v>
      </c>
      <c r="F292" s="394">
        <v>752</v>
      </c>
      <c r="G292" s="396">
        <v>7</v>
      </c>
      <c r="H292" s="396">
        <v>7.8</v>
      </c>
      <c r="I292" s="396">
        <v>8.8000000000000007</v>
      </c>
      <c r="J292" s="396">
        <v>8</v>
      </c>
      <c r="K292" s="396">
        <v>7.7</v>
      </c>
      <c r="L292" s="394" t="s">
        <v>1076</v>
      </c>
      <c r="M292" s="394"/>
      <c r="N292" s="389">
        <f>AVERAGE(H292,I292,K292)</f>
        <v>8.1</v>
      </c>
      <c r="O292" s="397">
        <v>2745</v>
      </c>
      <c r="P292" s="398">
        <v>1996</v>
      </c>
      <c r="Q292" s="397">
        <v>1460</v>
      </c>
      <c r="R292" s="397">
        <v>2591</v>
      </c>
      <c r="S292" s="397">
        <v>1626</v>
      </c>
      <c r="T292" s="397">
        <v>1600</v>
      </c>
      <c r="U292" s="397">
        <v>300</v>
      </c>
      <c r="V292" s="397">
        <v>330</v>
      </c>
      <c r="W292" s="397">
        <v>380</v>
      </c>
      <c r="X292" s="397">
        <v>350</v>
      </c>
      <c r="Y292" s="399">
        <f>S292-('FMTC Main'!$E$22-U292)</f>
        <v>1926</v>
      </c>
      <c r="Z292" s="399">
        <f>T292-('FMTC Main'!$E$27-V292)</f>
        <v>1930</v>
      </c>
      <c r="AA292" s="400" t="str">
        <f>A292&amp;" "&amp;B292&amp;" "&amp;C292</f>
        <v>2010 Jaguar #33 RSR XKR GT</v>
      </c>
    </row>
    <row r="293" spans="1:27" ht="12.95" customHeight="1">
      <c r="A293" s="394">
        <v>1956</v>
      </c>
      <c r="B293" s="394" t="s">
        <v>178</v>
      </c>
      <c r="C293" s="394" t="s">
        <v>895</v>
      </c>
      <c r="D293" s="395">
        <v>3000000</v>
      </c>
      <c r="E293" s="394" t="s">
        <v>1087</v>
      </c>
      <c r="F293" s="394">
        <v>410</v>
      </c>
      <c r="G293" s="396">
        <v>7</v>
      </c>
      <c r="H293" s="396">
        <v>4.3</v>
      </c>
      <c r="I293" s="396">
        <v>6.6</v>
      </c>
      <c r="J293" s="396">
        <v>4.0999999999999996</v>
      </c>
      <c r="K293" s="396">
        <v>4.0999999999999996</v>
      </c>
      <c r="L293" s="394" t="s">
        <v>1076</v>
      </c>
      <c r="M293" s="394"/>
      <c r="N293" s="389">
        <f>AVERAGE(H293,I293,K293)</f>
        <v>4.9999999999999991</v>
      </c>
      <c r="O293" s="397">
        <v>1930</v>
      </c>
      <c r="P293" s="398">
        <v>1660</v>
      </c>
      <c r="Q293" s="397">
        <v>1120</v>
      </c>
      <c r="R293" s="397">
        <v>2300</v>
      </c>
      <c r="S293" s="397">
        <v>1270</v>
      </c>
      <c r="T293" s="397">
        <v>1219</v>
      </c>
      <c r="U293" s="397">
        <v>195</v>
      </c>
      <c r="V293" s="397">
        <v>205</v>
      </c>
      <c r="W293" s="397">
        <v>305</v>
      </c>
      <c r="X293" s="397">
        <v>305</v>
      </c>
      <c r="Y293" s="399">
        <f>S293-('FMTC Main'!$E$22-U293)</f>
        <v>1465</v>
      </c>
      <c r="Z293" s="399">
        <f>T293-('FMTC Main'!$E$27-V293)</f>
        <v>1424</v>
      </c>
      <c r="AA293" s="400" t="str">
        <f>A293&amp;" "&amp;B293&amp;" "&amp;C293</f>
        <v>1956 Jaguar D-Type</v>
      </c>
    </row>
    <row r="294" spans="1:27" ht="12.95" customHeight="1">
      <c r="A294" s="394">
        <v>1961</v>
      </c>
      <c r="B294" s="394" t="s">
        <v>178</v>
      </c>
      <c r="C294" s="394" t="s">
        <v>309</v>
      </c>
      <c r="D294" s="395">
        <v>75000</v>
      </c>
      <c r="E294" s="394" t="s">
        <v>1085</v>
      </c>
      <c r="F294" s="394">
        <v>304</v>
      </c>
      <c r="G294" s="396">
        <v>4.3</v>
      </c>
      <c r="H294" s="396">
        <v>4.0999999999999996</v>
      </c>
      <c r="I294" s="396">
        <v>5.6</v>
      </c>
      <c r="J294" s="396">
        <v>6.3</v>
      </c>
      <c r="K294" s="396">
        <v>4.0999999999999996</v>
      </c>
      <c r="L294" s="394" t="s">
        <v>1076</v>
      </c>
      <c r="M294" s="394"/>
      <c r="N294" s="389">
        <f>AVERAGE(H294,I294,K294)</f>
        <v>4.5999999999999996</v>
      </c>
      <c r="O294" s="397">
        <v>2900</v>
      </c>
      <c r="P294" s="398">
        <v>1632</v>
      </c>
      <c r="Q294" s="397">
        <v>1194</v>
      </c>
      <c r="R294" s="397">
        <v>2440</v>
      </c>
      <c r="S294" s="397">
        <v>1270</v>
      </c>
      <c r="T294" s="397">
        <v>1270</v>
      </c>
      <c r="U294" s="397">
        <v>195</v>
      </c>
      <c r="V294" s="397">
        <v>195</v>
      </c>
      <c r="W294" s="397">
        <v>289</v>
      </c>
      <c r="X294" s="397">
        <v>264</v>
      </c>
      <c r="Y294" s="399">
        <f>S294-('FMTC Main'!$E$22-U294)</f>
        <v>1465</v>
      </c>
      <c r="Z294" s="399">
        <f>T294-('FMTC Main'!$E$27-V294)</f>
        <v>1465</v>
      </c>
      <c r="AA294" s="400" t="str">
        <f>A294&amp;" "&amp;B294&amp;" "&amp;C294</f>
        <v>1961 Jaguar E-type S1</v>
      </c>
    </row>
    <row r="295" spans="1:27" ht="12.95" customHeight="1">
      <c r="A295" s="394">
        <v>2010</v>
      </c>
      <c r="B295" s="394" t="s">
        <v>178</v>
      </c>
      <c r="C295" s="394" t="s">
        <v>567</v>
      </c>
      <c r="D295" s="395">
        <v>80000</v>
      </c>
      <c r="E295" s="394" t="s">
        <v>349</v>
      </c>
      <c r="F295" s="394">
        <v>501</v>
      </c>
      <c r="G295" s="396">
        <v>9</v>
      </c>
      <c r="H295" s="396">
        <v>4.4000000000000004</v>
      </c>
      <c r="I295" s="396">
        <v>7.5</v>
      </c>
      <c r="J295" s="396">
        <v>6.9</v>
      </c>
      <c r="K295" s="396">
        <v>4.3</v>
      </c>
      <c r="L295" s="394" t="s">
        <v>1076</v>
      </c>
      <c r="M295" s="394"/>
      <c r="N295" s="389">
        <f>AVERAGE(H295,I295,K295)</f>
        <v>5.3999999999999995</v>
      </c>
      <c r="O295" s="397">
        <v>4414</v>
      </c>
      <c r="P295" s="398">
        <v>1920</v>
      </c>
      <c r="Q295" s="397">
        <v>1460</v>
      </c>
      <c r="R295" s="397">
        <v>2909</v>
      </c>
      <c r="S295" s="397">
        <v>1559</v>
      </c>
      <c r="T295" s="397">
        <v>1571</v>
      </c>
      <c r="U295" s="397">
        <v>255</v>
      </c>
      <c r="V295" s="397">
        <v>285</v>
      </c>
      <c r="W295" s="397">
        <v>380</v>
      </c>
      <c r="X295" s="397">
        <v>376</v>
      </c>
      <c r="Y295" s="399">
        <f>S295-('FMTC Main'!$E$22-U295)</f>
        <v>1814</v>
      </c>
      <c r="Z295" s="399">
        <f>T295-('FMTC Main'!$E$27-V295)</f>
        <v>1856</v>
      </c>
      <c r="AA295" s="400" t="str">
        <f>A295&amp;" "&amp;B295&amp;" "&amp;C295</f>
        <v>2010 Jaguar XFR</v>
      </c>
    </row>
    <row r="296" spans="1:27" ht="12.95" customHeight="1">
      <c r="A296" s="394">
        <v>1993</v>
      </c>
      <c r="B296" s="394" t="s">
        <v>178</v>
      </c>
      <c r="C296" s="394" t="s">
        <v>310</v>
      </c>
      <c r="D296" s="395">
        <v>180000</v>
      </c>
      <c r="E296" s="394" t="s">
        <v>1092</v>
      </c>
      <c r="F296" s="394">
        <v>618</v>
      </c>
      <c r="G296" s="396">
        <v>8.8000000000000007</v>
      </c>
      <c r="H296" s="396">
        <v>5.9</v>
      </c>
      <c r="I296" s="396">
        <v>8.5</v>
      </c>
      <c r="J296" s="396">
        <v>7.6</v>
      </c>
      <c r="K296" s="396">
        <v>5.7</v>
      </c>
      <c r="L296" s="394" t="s">
        <v>1076</v>
      </c>
      <c r="M296" s="394"/>
      <c r="N296" s="389">
        <f>AVERAGE(H296,I296,K296)</f>
        <v>6.7</v>
      </c>
      <c r="O296" s="397">
        <v>2976</v>
      </c>
      <c r="P296" s="398">
        <v>2000</v>
      </c>
      <c r="Q296" s="397">
        <v>1150</v>
      </c>
      <c r="R296" s="397">
        <v>2640</v>
      </c>
      <c r="S296" s="397">
        <v>1650</v>
      </c>
      <c r="T296" s="397">
        <v>1650</v>
      </c>
      <c r="U296" s="397">
        <v>255</v>
      </c>
      <c r="V296" s="397">
        <v>345</v>
      </c>
      <c r="W296" s="397">
        <v>330</v>
      </c>
      <c r="X296" s="397">
        <v>300</v>
      </c>
      <c r="Y296" s="399">
        <f>S296-('FMTC Main'!$E$22-U296)</f>
        <v>1905</v>
      </c>
      <c r="Z296" s="399">
        <f>T296-('FMTC Main'!$E$27-V296)</f>
        <v>1995</v>
      </c>
      <c r="AA296" s="400" t="str">
        <f>A296&amp;" "&amp;B296&amp;" "&amp;C296</f>
        <v>1993 Jaguar XJ220</v>
      </c>
    </row>
    <row r="297" spans="1:27" ht="12.95" customHeight="1">
      <c r="A297" s="394">
        <v>2009</v>
      </c>
      <c r="B297" s="394" t="s">
        <v>178</v>
      </c>
      <c r="C297" s="394" t="s">
        <v>179</v>
      </c>
      <c r="D297" s="395">
        <v>100000</v>
      </c>
      <c r="E297" s="394" t="s">
        <v>349</v>
      </c>
      <c r="F297" s="394">
        <v>524</v>
      </c>
      <c r="G297" s="396">
        <v>7.6</v>
      </c>
      <c r="H297" s="396">
        <v>5.3</v>
      </c>
      <c r="I297" s="396">
        <v>7.3</v>
      </c>
      <c r="J297" s="396">
        <v>7</v>
      </c>
      <c r="K297" s="396">
        <v>5.2</v>
      </c>
      <c r="L297" s="394" t="s">
        <v>1076</v>
      </c>
      <c r="M297" s="394"/>
      <c r="N297" s="389">
        <f>AVERAGE(H297,I297,K297)</f>
        <v>5.9333333333333336</v>
      </c>
      <c r="O297" s="397">
        <v>3880</v>
      </c>
      <c r="P297" s="398">
        <v>1892</v>
      </c>
      <c r="Q297" s="397">
        <v>1312</v>
      </c>
      <c r="R297" s="397">
        <v>2752</v>
      </c>
      <c r="S297" s="397">
        <v>1560</v>
      </c>
      <c r="T297" s="397">
        <v>1608</v>
      </c>
      <c r="U297" s="397">
        <v>255</v>
      </c>
      <c r="V297" s="397">
        <v>295</v>
      </c>
      <c r="W297" s="397">
        <v>400</v>
      </c>
      <c r="X297" s="397">
        <v>350</v>
      </c>
      <c r="Y297" s="399">
        <f>S297-('FMTC Main'!$E$22-U297)</f>
        <v>1815</v>
      </c>
      <c r="Z297" s="399">
        <f>T297-('FMTC Main'!$E$27-V297)</f>
        <v>1903</v>
      </c>
      <c r="AA297" s="400" t="str">
        <f>A297&amp;" "&amp;B297&amp;" "&amp;C297</f>
        <v>2009 Jaguar XKR-S</v>
      </c>
    </row>
    <row r="298" spans="1:27" ht="12.95" customHeight="1">
      <c r="A298" s="394">
        <v>2009</v>
      </c>
      <c r="B298" s="394" t="s">
        <v>897</v>
      </c>
      <c r="C298" s="394" t="s">
        <v>898</v>
      </c>
      <c r="D298" s="395">
        <v>36000</v>
      </c>
      <c r="E298" s="394" t="s">
        <v>1087</v>
      </c>
      <c r="F298" s="394">
        <v>413</v>
      </c>
      <c r="G298" s="396">
        <v>6</v>
      </c>
      <c r="H298" s="396">
        <v>3.5</v>
      </c>
      <c r="I298" s="396">
        <v>6.5</v>
      </c>
      <c r="J298" s="396">
        <v>7.4</v>
      </c>
      <c r="K298" s="396">
        <v>3.6</v>
      </c>
      <c r="L298" s="394" t="s">
        <v>1075</v>
      </c>
      <c r="M298" s="394"/>
      <c r="N298" s="389">
        <f>AVERAGE(H298,I298,K298)</f>
        <v>4.5333333333333332</v>
      </c>
      <c r="O298" s="397">
        <v>4794</v>
      </c>
      <c r="P298" s="398">
        <v>1862</v>
      </c>
      <c r="Q298" s="397">
        <v>1694</v>
      </c>
      <c r="R298" s="397">
        <v>2781</v>
      </c>
      <c r="S298" s="397">
        <v>1608</v>
      </c>
      <c r="T298" s="397">
        <v>1577</v>
      </c>
      <c r="U298" s="397">
        <v>255</v>
      </c>
      <c r="V298" s="397">
        <v>285</v>
      </c>
      <c r="W298" s="397">
        <v>360</v>
      </c>
      <c r="X298" s="397">
        <v>350</v>
      </c>
      <c r="Y298" s="399">
        <f>S298-('FMTC Main'!$E$22-U298)</f>
        <v>1863</v>
      </c>
      <c r="Z298" s="399">
        <f>T298-('FMTC Main'!$E$27-V298)</f>
        <v>1862</v>
      </c>
      <c r="AA298" s="400" t="str">
        <f>A298&amp;" "&amp;B298&amp;" "&amp;C298</f>
        <v>2009 Jeep Grand Cherokee SRT8</v>
      </c>
    </row>
    <row r="299" spans="1:27" ht="12.95" customHeight="1">
      <c r="A299" s="394">
        <v>2010</v>
      </c>
      <c r="B299" s="394" t="s">
        <v>699</v>
      </c>
      <c r="C299" s="394" t="s">
        <v>700</v>
      </c>
      <c r="D299" s="395">
        <v>400000</v>
      </c>
      <c r="E299" s="394" t="s">
        <v>1094</v>
      </c>
      <c r="F299" s="394">
        <v>718</v>
      </c>
      <c r="G299" s="396">
        <v>8.1</v>
      </c>
      <c r="H299" s="396">
        <v>6.6</v>
      </c>
      <c r="I299" s="396">
        <v>9.1999999999999993</v>
      </c>
      <c r="J299" s="396">
        <v>8.3000000000000007</v>
      </c>
      <c r="K299" s="396">
        <v>6.3</v>
      </c>
      <c r="L299" s="394" t="s">
        <v>1102</v>
      </c>
      <c r="M299" s="394"/>
      <c r="N299" s="389">
        <f>AVERAGE(H299,I299,K299)</f>
        <v>7.3666666666666663</v>
      </c>
      <c r="O299" s="397">
        <v>2072</v>
      </c>
      <c r="P299" s="398">
        <v>1860</v>
      </c>
      <c r="Q299" s="397">
        <v>1100</v>
      </c>
      <c r="R299" s="397">
        <v>2560</v>
      </c>
      <c r="S299" s="397">
        <v>1595</v>
      </c>
      <c r="T299" s="397">
        <v>1505</v>
      </c>
      <c r="U299" s="397">
        <v>245</v>
      </c>
      <c r="V299" s="397">
        <v>335</v>
      </c>
      <c r="W299" s="397">
        <v>350</v>
      </c>
      <c r="X299" s="397">
        <v>350</v>
      </c>
      <c r="Y299" s="399">
        <f>S299-('FMTC Main'!$E$22-U299)</f>
        <v>1840</v>
      </c>
      <c r="Z299" s="399">
        <f>T299-('FMTC Main'!$E$27-V299)</f>
        <v>1840</v>
      </c>
      <c r="AA299" s="400" t="str">
        <f>A299&amp;" "&amp;B299&amp;" "&amp;C299</f>
        <v>2010 Joss JT1</v>
      </c>
    </row>
    <row r="300" spans="1:27" ht="12.95" customHeight="1">
      <c r="A300" s="394">
        <v>2011</v>
      </c>
      <c r="B300" s="394" t="s">
        <v>723</v>
      </c>
      <c r="C300" s="394" t="s">
        <v>899</v>
      </c>
      <c r="D300" s="395">
        <v>14000</v>
      </c>
      <c r="E300" s="394" t="s">
        <v>1099</v>
      </c>
      <c r="F300" s="394">
        <v>168</v>
      </c>
      <c r="G300" s="396">
        <v>3</v>
      </c>
      <c r="H300" s="396">
        <v>4.7</v>
      </c>
      <c r="I300" s="396">
        <v>3.7</v>
      </c>
      <c r="J300" s="396">
        <v>3.7</v>
      </c>
      <c r="K300" s="396">
        <v>4.5</v>
      </c>
      <c r="L300" s="394" t="s">
        <v>1104</v>
      </c>
      <c r="M300" s="394"/>
      <c r="N300" s="389">
        <f>AVERAGE(H300,I300,K300)</f>
        <v>4.3</v>
      </c>
      <c r="O300" s="397">
        <v>2784</v>
      </c>
      <c r="P300" s="398">
        <v>1790</v>
      </c>
      <c r="Q300" s="397">
        <v>1480</v>
      </c>
      <c r="R300" s="397">
        <v>2641</v>
      </c>
      <c r="S300" s="397">
        <v>1546</v>
      </c>
      <c r="T300" s="397">
        <v>1544</v>
      </c>
      <c r="U300" s="397">
        <v>225</v>
      </c>
      <c r="V300" s="397">
        <v>225</v>
      </c>
      <c r="W300" s="397">
        <v>280</v>
      </c>
      <c r="X300" s="397">
        <v>262</v>
      </c>
      <c r="Y300" s="399">
        <f>S300-('FMTC Main'!$E$22-U300)</f>
        <v>1771</v>
      </c>
      <c r="Z300" s="399">
        <f>T300-('FMTC Main'!$E$27-V300)</f>
        <v>1769</v>
      </c>
      <c r="AA300" s="400" t="str">
        <f>A300&amp;" "&amp;B300&amp;" "&amp;C300</f>
        <v>2011 Kia Cee'd</v>
      </c>
    </row>
    <row r="301" spans="1:27" ht="12.95" customHeight="1">
      <c r="A301" s="394">
        <v>2010</v>
      </c>
      <c r="B301" s="394" t="s">
        <v>723</v>
      </c>
      <c r="C301" s="394" t="s">
        <v>701</v>
      </c>
      <c r="D301" s="395">
        <v>18000</v>
      </c>
      <c r="E301" s="394" t="s">
        <v>1085</v>
      </c>
      <c r="F301" s="394">
        <v>284</v>
      </c>
      <c r="G301" s="396">
        <v>4.3</v>
      </c>
      <c r="H301" s="396">
        <v>4.5999999999999996</v>
      </c>
      <c r="I301" s="396">
        <v>5.0999999999999996</v>
      </c>
      <c r="J301" s="396">
        <v>5.6</v>
      </c>
      <c r="K301" s="396">
        <v>4.4000000000000004</v>
      </c>
      <c r="L301" s="394" t="s">
        <v>1104</v>
      </c>
      <c r="M301" s="394"/>
      <c r="N301" s="389">
        <f>AVERAGE(H301,I301,K301)</f>
        <v>4.7</v>
      </c>
      <c r="O301" s="397">
        <v>2933</v>
      </c>
      <c r="P301" s="398">
        <v>1765.3</v>
      </c>
      <c r="Q301" s="397">
        <v>1399.54</v>
      </c>
      <c r="R301" s="397">
        <v>2641</v>
      </c>
      <c r="S301" s="397">
        <v>1559.56</v>
      </c>
      <c r="T301" s="397">
        <v>1564.64</v>
      </c>
      <c r="U301" s="397">
        <v>215</v>
      </c>
      <c r="V301" s="397">
        <v>215</v>
      </c>
      <c r="W301" s="397">
        <v>299.72000000000003</v>
      </c>
      <c r="X301" s="397">
        <v>261.62</v>
      </c>
      <c r="Y301" s="399">
        <f>S301-('FMTC Main'!$E$22-U301)</f>
        <v>1774.56</v>
      </c>
      <c r="Z301" s="399">
        <f>T301-('FMTC Main'!$E$27-V301)</f>
        <v>1779.64</v>
      </c>
      <c r="AA301" s="400" t="str">
        <f>A301&amp;" "&amp;B301&amp;" "&amp;C301</f>
        <v>2010 Kia Forte Koup SX</v>
      </c>
    </row>
    <row r="302" spans="1:27" ht="12.95" customHeight="1">
      <c r="A302" s="394">
        <v>2011</v>
      </c>
      <c r="B302" s="394" t="s">
        <v>180</v>
      </c>
      <c r="C302" s="394" t="s">
        <v>900</v>
      </c>
      <c r="D302" s="395">
        <v>1400000</v>
      </c>
      <c r="E302" s="394" t="s">
        <v>1094</v>
      </c>
      <c r="F302" s="394">
        <v>744</v>
      </c>
      <c r="G302" s="396">
        <v>10</v>
      </c>
      <c r="H302" s="396">
        <v>6.3</v>
      </c>
      <c r="I302" s="396">
        <v>9.1</v>
      </c>
      <c r="J302" s="396">
        <v>8.1999999999999993</v>
      </c>
      <c r="K302" s="396">
        <v>6.1</v>
      </c>
      <c r="L302" s="394" t="s">
        <v>1105</v>
      </c>
      <c r="M302" s="394" t="s">
        <v>1109</v>
      </c>
      <c r="N302" s="389">
        <f>AVERAGE(H302,I302,K302)</f>
        <v>7.166666666666667</v>
      </c>
      <c r="O302" s="397">
        <v>3164</v>
      </c>
      <c r="P302" s="398">
        <v>1996</v>
      </c>
      <c r="Q302" s="397">
        <v>1120</v>
      </c>
      <c r="R302" s="397">
        <v>2660</v>
      </c>
      <c r="S302" s="397">
        <v>1660</v>
      </c>
      <c r="T302" s="397">
        <v>1660</v>
      </c>
      <c r="U302" s="397">
        <v>265</v>
      </c>
      <c r="V302" s="397">
        <v>345</v>
      </c>
      <c r="W302" s="397">
        <v>392</v>
      </c>
      <c r="X302" s="397">
        <v>380</v>
      </c>
      <c r="Y302" s="399">
        <f>S302-('FMTC Main'!$E$22-U302)</f>
        <v>1925</v>
      </c>
      <c r="Z302" s="399">
        <f>T302-('FMTC Main'!$E$27-V302)</f>
        <v>2005</v>
      </c>
      <c r="AA302" s="400" t="str">
        <f>A302&amp;" "&amp;B302&amp;" "&amp;C302</f>
        <v>2011 Koenigsegg Agera</v>
      </c>
    </row>
    <row r="303" spans="1:27" ht="12.95" customHeight="1">
      <c r="A303" s="394">
        <v>2002</v>
      </c>
      <c r="B303" s="394" t="s">
        <v>180</v>
      </c>
      <c r="C303" s="394" t="s">
        <v>311</v>
      </c>
      <c r="D303" s="395">
        <v>320000</v>
      </c>
      <c r="E303" s="394" t="s">
        <v>1092</v>
      </c>
      <c r="F303" s="394">
        <v>670</v>
      </c>
      <c r="G303" s="396">
        <v>10</v>
      </c>
      <c r="H303" s="396">
        <v>6.2</v>
      </c>
      <c r="I303" s="396">
        <v>8.6999999999999993</v>
      </c>
      <c r="J303" s="396">
        <v>7.8</v>
      </c>
      <c r="K303" s="396">
        <v>6</v>
      </c>
      <c r="L303" s="394" t="s">
        <v>1105</v>
      </c>
      <c r="M303" s="394"/>
      <c r="N303" s="389">
        <f>AVERAGE(H303,I303,K303)</f>
        <v>6.9666666666666659</v>
      </c>
      <c r="O303" s="397">
        <v>2811</v>
      </c>
      <c r="P303" s="398">
        <v>1990</v>
      </c>
      <c r="Q303" s="397">
        <v>1070</v>
      </c>
      <c r="R303" s="397">
        <v>2660</v>
      </c>
      <c r="S303" s="397">
        <v>1660</v>
      </c>
      <c r="T303" s="397">
        <v>1660</v>
      </c>
      <c r="U303" s="397">
        <v>225</v>
      </c>
      <c r="V303" s="397">
        <v>335</v>
      </c>
      <c r="W303" s="397">
        <v>345</v>
      </c>
      <c r="X303" s="397">
        <v>330</v>
      </c>
      <c r="Y303" s="399">
        <f>S303-('FMTC Main'!$E$22-U303)</f>
        <v>1885</v>
      </c>
      <c r="Z303" s="399">
        <f>T303-('FMTC Main'!$E$27-V303)</f>
        <v>1995</v>
      </c>
      <c r="AA303" s="400" t="str">
        <f>A303&amp;" "&amp;B303&amp;" "&amp;C303</f>
        <v>2002 Koenigsegg CC8S</v>
      </c>
    </row>
    <row r="304" spans="1:27" ht="12.95" customHeight="1">
      <c r="A304" s="394">
        <v>2008</v>
      </c>
      <c r="B304" s="394" t="s">
        <v>180</v>
      </c>
      <c r="C304" s="394" t="s">
        <v>181</v>
      </c>
      <c r="D304" s="395">
        <v>1500000</v>
      </c>
      <c r="E304" s="394" t="s">
        <v>1091</v>
      </c>
      <c r="F304" s="394">
        <v>857</v>
      </c>
      <c r="G304" s="396">
        <v>8.8000000000000007</v>
      </c>
      <c r="H304" s="396">
        <v>8.1999999999999993</v>
      </c>
      <c r="I304" s="396">
        <v>9.4</v>
      </c>
      <c r="J304" s="396">
        <v>8.4</v>
      </c>
      <c r="K304" s="396">
        <v>8.1</v>
      </c>
      <c r="L304" s="394" t="s">
        <v>1105</v>
      </c>
      <c r="M304" s="394"/>
      <c r="N304" s="389">
        <f>AVERAGE(H304,I304,K304)</f>
        <v>8.5666666666666682</v>
      </c>
      <c r="O304" s="397">
        <v>2425</v>
      </c>
      <c r="P304" s="398">
        <v>1998</v>
      </c>
      <c r="Q304" s="397">
        <v>1120</v>
      </c>
      <c r="R304" s="397">
        <v>2660</v>
      </c>
      <c r="S304" s="397">
        <v>1700</v>
      </c>
      <c r="T304" s="397">
        <v>1650</v>
      </c>
      <c r="U304" s="397">
        <v>300</v>
      </c>
      <c r="V304" s="397">
        <v>310</v>
      </c>
      <c r="W304" s="397">
        <v>380</v>
      </c>
      <c r="X304" s="397">
        <v>362</v>
      </c>
      <c r="Y304" s="399">
        <f>S304-('FMTC Main'!$E$22-U304)</f>
        <v>2000</v>
      </c>
      <c r="Z304" s="399">
        <f>T304-('FMTC Main'!$E$27-V304)</f>
        <v>1960</v>
      </c>
      <c r="AA304" s="400" t="str">
        <f>A304&amp;" "&amp;B304&amp;" "&amp;C304</f>
        <v>2008 Koenigsegg CCGT</v>
      </c>
    </row>
    <row r="305" spans="1:27" ht="12.95" customHeight="1">
      <c r="A305" s="394">
        <v>2006</v>
      </c>
      <c r="B305" s="394" t="s">
        <v>180</v>
      </c>
      <c r="C305" s="394" t="s">
        <v>698</v>
      </c>
      <c r="D305" s="395">
        <v>550000</v>
      </c>
      <c r="E305" s="394" t="s">
        <v>1094</v>
      </c>
      <c r="F305" s="394">
        <v>712</v>
      </c>
      <c r="G305" s="396">
        <v>10</v>
      </c>
      <c r="H305" s="396">
        <v>6</v>
      </c>
      <c r="I305" s="396">
        <v>9</v>
      </c>
      <c r="J305" s="396">
        <v>8.1</v>
      </c>
      <c r="K305" s="396">
        <v>5.8</v>
      </c>
      <c r="L305" s="394" t="s">
        <v>1105</v>
      </c>
      <c r="M305" s="394"/>
      <c r="N305" s="389">
        <f>AVERAGE(H305,I305,K305)</f>
        <v>6.9333333333333336</v>
      </c>
      <c r="O305" s="397">
        <v>3150</v>
      </c>
      <c r="P305" s="398">
        <v>1996</v>
      </c>
      <c r="Q305" s="397">
        <v>1120</v>
      </c>
      <c r="R305" s="397">
        <v>2660</v>
      </c>
      <c r="S305" s="397">
        <v>1660</v>
      </c>
      <c r="T305" s="397">
        <v>1660</v>
      </c>
      <c r="U305" s="397">
        <v>255</v>
      </c>
      <c r="V305" s="397">
        <v>335</v>
      </c>
      <c r="W305" s="397">
        <v>380</v>
      </c>
      <c r="X305" s="397">
        <v>362</v>
      </c>
      <c r="Y305" s="399">
        <f>S305-('FMTC Main'!$E$22-U305)</f>
        <v>1915</v>
      </c>
      <c r="Z305" s="399">
        <f>T305-('FMTC Main'!$E$27-V305)</f>
        <v>1995</v>
      </c>
      <c r="AA305" s="400" t="str">
        <f>A305&amp;" "&amp;B305&amp;" "&amp;C305</f>
        <v>2006 Koenigsegg CCX</v>
      </c>
    </row>
    <row r="306" spans="1:27" ht="12.95" customHeight="1">
      <c r="A306" s="402">
        <v>2011</v>
      </c>
      <c r="B306" s="402" t="s">
        <v>182</v>
      </c>
      <c r="C306" s="402" t="s">
        <v>1156</v>
      </c>
      <c r="D306" s="403">
        <v>1000000</v>
      </c>
      <c r="E306" s="402" t="s">
        <v>1094</v>
      </c>
      <c r="F306" s="402">
        <v>759</v>
      </c>
      <c r="G306" s="404">
        <v>6.5</v>
      </c>
      <c r="H306" s="404">
        <v>7.9</v>
      </c>
      <c r="I306" s="404">
        <v>8.6</v>
      </c>
      <c r="J306" s="404">
        <v>7.3</v>
      </c>
      <c r="K306" s="404">
        <v>7.9</v>
      </c>
      <c r="L306" s="402" t="s">
        <v>1084</v>
      </c>
      <c r="M306" s="402" t="s">
        <v>1154</v>
      </c>
      <c r="N306" s="389">
        <f>AVERAGE(H306,I306,K306)</f>
        <v>8.1333333333333329</v>
      </c>
      <c r="O306" s="405">
        <v>2624</v>
      </c>
      <c r="P306" s="405">
        <v>1900</v>
      </c>
      <c r="Q306" s="405">
        <v>1165</v>
      </c>
      <c r="R306" s="405">
        <v>2560</v>
      </c>
      <c r="S306" s="405">
        <v>1632</v>
      </c>
      <c r="T306" s="405">
        <v>1597</v>
      </c>
      <c r="U306" s="405">
        <v>310</v>
      </c>
      <c r="V306" s="405">
        <v>330</v>
      </c>
      <c r="W306" s="405">
        <v>380</v>
      </c>
      <c r="X306" s="405">
        <v>355</v>
      </c>
      <c r="Y306" s="406">
        <f>S306-('FMTC Main'!$E$22-U306)</f>
        <v>1942</v>
      </c>
      <c r="Z306" s="406">
        <f>T306-('FMTC Main'!$E$27-V306)</f>
        <v>1927</v>
      </c>
      <c r="AA306" s="407" t="str">
        <f>A306&amp;" "&amp;B306&amp;" "&amp;C306</f>
        <v>2011 Lamborghini #08 West Yokohama Gallardo LP560-4</v>
      </c>
    </row>
    <row r="307" spans="1:27" ht="12.95" customHeight="1">
      <c r="A307" s="394">
        <v>2012</v>
      </c>
      <c r="B307" s="394" t="s">
        <v>182</v>
      </c>
      <c r="C307" s="394" t="s">
        <v>903</v>
      </c>
      <c r="D307" s="395"/>
      <c r="E307" s="394"/>
      <c r="F307" s="394"/>
      <c r="G307" s="396"/>
      <c r="H307" s="396"/>
      <c r="I307" s="396"/>
      <c r="J307" s="396"/>
      <c r="K307" s="396"/>
      <c r="L307" s="394" t="s">
        <v>1084</v>
      </c>
      <c r="M307" s="394"/>
      <c r="N307" s="389" t="e">
        <f>AVERAGE(H307,I307,K307)</f>
        <v>#DIV/0!</v>
      </c>
      <c r="O307" s="397">
        <v>3472</v>
      </c>
      <c r="P307" s="398">
        <v>2030</v>
      </c>
      <c r="Q307" s="397">
        <v>1136</v>
      </c>
      <c r="R307" s="397">
        <v>2700</v>
      </c>
      <c r="S307" s="397">
        <v>1720</v>
      </c>
      <c r="T307" s="397">
        <v>1700</v>
      </c>
      <c r="U307" s="397">
        <v>255</v>
      </c>
      <c r="V307" s="397">
        <v>335</v>
      </c>
      <c r="W307" s="397">
        <v>400</v>
      </c>
      <c r="X307" s="397">
        <v>380</v>
      </c>
      <c r="Y307" s="399">
        <f>S307-('FMTC Main'!$E$22-U307)</f>
        <v>1975</v>
      </c>
      <c r="Z307" s="399">
        <f>T307-('FMTC Main'!$E$27-V307)</f>
        <v>2035</v>
      </c>
      <c r="AA307" s="400" t="str">
        <f>A307&amp;" "&amp;B307&amp;" "&amp;C307</f>
        <v>2012 Lamborghini Aventador LP700-4</v>
      </c>
    </row>
    <row r="308" spans="1:27" ht="12.95" customHeight="1">
      <c r="A308" s="394">
        <v>1988</v>
      </c>
      <c r="B308" s="394" t="s">
        <v>182</v>
      </c>
      <c r="C308" s="394" t="s">
        <v>183</v>
      </c>
      <c r="D308" s="395">
        <v>150000</v>
      </c>
      <c r="E308" s="394" t="s">
        <v>349</v>
      </c>
      <c r="F308" s="394">
        <v>527</v>
      </c>
      <c r="G308" s="396">
        <v>7.8</v>
      </c>
      <c r="H308" s="396">
        <v>5.4</v>
      </c>
      <c r="I308" s="396">
        <v>7.7</v>
      </c>
      <c r="J308" s="396">
        <v>6.8</v>
      </c>
      <c r="K308" s="396">
        <v>5.2</v>
      </c>
      <c r="L308" s="394" t="s">
        <v>1084</v>
      </c>
      <c r="M308" s="394"/>
      <c r="N308" s="389">
        <f>AVERAGE(H308,I308,K308)</f>
        <v>6.1000000000000005</v>
      </c>
      <c r="O308" s="397">
        <v>3284</v>
      </c>
      <c r="P308" s="398">
        <v>2000</v>
      </c>
      <c r="Q308" s="397">
        <v>1070</v>
      </c>
      <c r="R308" s="397">
        <v>2500</v>
      </c>
      <c r="S308" s="397">
        <v>1535</v>
      </c>
      <c r="T308" s="397">
        <v>1606</v>
      </c>
      <c r="U308" s="397">
        <v>225</v>
      </c>
      <c r="V308" s="397">
        <v>345</v>
      </c>
      <c r="W308" s="397">
        <v>300</v>
      </c>
      <c r="X308" s="397">
        <v>284</v>
      </c>
      <c r="Y308" s="399">
        <f>S308-('FMTC Main'!$E$22-U308)</f>
        <v>1760</v>
      </c>
      <c r="Z308" s="399">
        <f>T308-('FMTC Main'!$E$27-V308)</f>
        <v>1951</v>
      </c>
      <c r="AA308" s="400" t="str">
        <f>A308&amp;" "&amp;B308&amp;" "&amp;C308</f>
        <v>1988 Lamborghini Countach LP5000 QV</v>
      </c>
    </row>
    <row r="309" spans="1:27" ht="12.95" customHeight="1">
      <c r="A309" s="394">
        <v>1999</v>
      </c>
      <c r="B309" s="394" t="s">
        <v>182</v>
      </c>
      <c r="C309" s="394" t="s">
        <v>901</v>
      </c>
      <c r="D309" s="395">
        <v>200000</v>
      </c>
      <c r="E309" s="394" t="s">
        <v>1092</v>
      </c>
      <c r="F309" s="394">
        <v>700</v>
      </c>
      <c r="G309" s="396">
        <v>8.4</v>
      </c>
      <c r="H309" s="396">
        <v>7.2</v>
      </c>
      <c r="I309" s="396">
        <v>8.8000000000000007</v>
      </c>
      <c r="J309" s="396">
        <v>8.6999999999999993</v>
      </c>
      <c r="K309" s="396">
        <v>7.1</v>
      </c>
      <c r="L309" s="394" t="s">
        <v>1084</v>
      </c>
      <c r="M309" s="394"/>
      <c r="N309" s="389">
        <f>AVERAGE(H309,I309,K309)</f>
        <v>7.7</v>
      </c>
      <c r="O309" s="397">
        <v>3075</v>
      </c>
      <c r="P309" s="398">
        <v>2040</v>
      </c>
      <c r="Q309" s="397">
        <v>1115</v>
      </c>
      <c r="R309" s="397">
        <v>2650</v>
      </c>
      <c r="S309" s="397">
        <v>1650</v>
      </c>
      <c r="T309" s="397">
        <v>1670</v>
      </c>
      <c r="U309" s="397">
        <v>245</v>
      </c>
      <c r="V309" s="397">
        <v>335</v>
      </c>
      <c r="W309" s="397">
        <v>355</v>
      </c>
      <c r="X309" s="397">
        <v>355</v>
      </c>
      <c r="Y309" s="399">
        <f>S309-('FMTC Main'!$E$22-U309)</f>
        <v>1895</v>
      </c>
      <c r="Z309" s="399">
        <f>T309-('FMTC Main'!$E$27-V309)</f>
        <v>2005</v>
      </c>
      <c r="AA309" s="400" t="str">
        <f>A309&amp;" "&amp;B309&amp;" "&amp;C309</f>
        <v>1999 Lamborghini Diablo GT-R</v>
      </c>
    </row>
    <row r="310" spans="1:27" ht="12.95" customHeight="1">
      <c r="A310" s="394">
        <v>1997</v>
      </c>
      <c r="B310" s="394" t="s">
        <v>182</v>
      </c>
      <c r="C310" s="394" t="s">
        <v>184</v>
      </c>
      <c r="D310" s="395">
        <v>100000</v>
      </c>
      <c r="E310" s="394" t="s">
        <v>349</v>
      </c>
      <c r="F310" s="394">
        <v>559</v>
      </c>
      <c r="G310" s="396">
        <v>8.4</v>
      </c>
      <c r="H310" s="396">
        <v>5.5</v>
      </c>
      <c r="I310" s="396">
        <v>7.8</v>
      </c>
      <c r="J310" s="396">
        <v>7.1</v>
      </c>
      <c r="K310" s="396">
        <v>5.4</v>
      </c>
      <c r="L310" s="394" t="s">
        <v>1084</v>
      </c>
      <c r="M310" s="394"/>
      <c r="N310" s="389">
        <f>AVERAGE(H310,I310,K310)</f>
        <v>6.2333333333333343</v>
      </c>
      <c r="O310" s="397">
        <v>3474</v>
      </c>
      <c r="P310" s="398">
        <v>2040</v>
      </c>
      <c r="Q310" s="397">
        <v>1115</v>
      </c>
      <c r="R310" s="397">
        <v>2650</v>
      </c>
      <c r="S310" s="397">
        <v>1540</v>
      </c>
      <c r="T310" s="397">
        <v>1640</v>
      </c>
      <c r="U310" s="397">
        <v>235</v>
      </c>
      <c r="V310" s="397">
        <v>335</v>
      </c>
      <c r="W310" s="397">
        <v>355</v>
      </c>
      <c r="X310" s="397">
        <v>335</v>
      </c>
      <c r="Y310" s="399">
        <f>S310-('FMTC Main'!$E$22-U310)</f>
        <v>1775</v>
      </c>
      <c r="Z310" s="399">
        <f>T310-('FMTC Main'!$E$27-V310)</f>
        <v>1975</v>
      </c>
      <c r="AA310" s="400" t="str">
        <f>A310&amp;" "&amp;B310&amp;" "&amp;C310</f>
        <v>1997 Lamborghini Diablo SV</v>
      </c>
    </row>
    <row r="311" spans="1:27" ht="12.95" customHeight="1">
      <c r="A311" s="394">
        <v>2005</v>
      </c>
      <c r="B311" s="394" t="s">
        <v>182</v>
      </c>
      <c r="C311" s="394" t="s">
        <v>185</v>
      </c>
      <c r="D311" s="395">
        <v>110000</v>
      </c>
      <c r="E311" s="394" t="s">
        <v>1092</v>
      </c>
      <c r="F311" s="394">
        <v>625</v>
      </c>
      <c r="G311" s="396">
        <v>8.3000000000000007</v>
      </c>
      <c r="H311" s="396">
        <v>5.9</v>
      </c>
      <c r="I311" s="396">
        <v>7.7</v>
      </c>
      <c r="J311" s="396">
        <v>7</v>
      </c>
      <c r="K311" s="396">
        <v>5.8</v>
      </c>
      <c r="L311" s="394" t="s">
        <v>1084</v>
      </c>
      <c r="M311" s="394"/>
      <c r="N311" s="389">
        <f>AVERAGE(H311,I311,K311)</f>
        <v>6.4666666666666677</v>
      </c>
      <c r="O311" s="397">
        <v>3560</v>
      </c>
      <c r="P311" s="398">
        <v>1900</v>
      </c>
      <c r="Q311" s="397">
        <v>1165</v>
      </c>
      <c r="R311" s="397">
        <v>2560</v>
      </c>
      <c r="S311" s="397">
        <v>1622</v>
      </c>
      <c r="T311" s="397">
        <v>1592</v>
      </c>
      <c r="U311" s="397">
        <v>235</v>
      </c>
      <c r="V311" s="397">
        <v>295</v>
      </c>
      <c r="W311" s="397">
        <v>365</v>
      </c>
      <c r="X311" s="397">
        <v>335</v>
      </c>
      <c r="Y311" s="399">
        <f>S311-('FMTC Main'!$E$22-U311)</f>
        <v>1857</v>
      </c>
      <c r="Z311" s="399">
        <f>T311-('FMTC Main'!$E$27-V311)</f>
        <v>1887</v>
      </c>
      <c r="AA311" s="400" t="str">
        <f>A311&amp;" "&amp;B311&amp;" "&amp;C311</f>
        <v>2005 Lamborghini Gallardo</v>
      </c>
    </row>
    <row r="312" spans="1:27" ht="12.95" customHeight="1">
      <c r="A312" s="394">
        <v>2011</v>
      </c>
      <c r="B312" s="394" t="s">
        <v>182</v>
      </c>
      <c r="C312" s="394" t="s">
        <v>904</v>
      </c>
      <c r="D312" s="395">
        <v>275000</v>
      </c>
      <c r="E312" s="394" t="s">
        <v>1094</v>
      </c>
      <c r="F312" s="394">
        <v>706</v>
      </c>
      <c r="G312" s="396">
        <v>8.8000000000000007</v>
      </c>
      <c r="H312" s="396">
        <v>6</v>
      </c>
      <c r="I312" s="396">
        <v>8.8000000000000007</v>
      </c>
      <c r="J312" s="396">
        <v>9.5</v>
      </c>
      <c r="K312" s="396">
        <v>5.9</v>
      </c>
      <c r="L312" s="394" t="s">
        <v>1084</v>
      </c>
      <c r="M312" s="394" t="s">
        <v>1108</v>
      </c>
      <c r="N312" s="389">
        <f>AVERAGE(H312,I312,K312)</f>
        <v>6.9000000000000012</v>
      </c>
      <c r="O312" s="397">
        <v>3470</v>
      </c>
      <c r="P312" s="398">
        <v>1900</v>
      </c>
      <c r="Q312" s="397">
        <v>1165</v>
      </c>
      <c r="R312" s="397">
        <v>2560</v>
      </c>
      <c r="S312" s="397">
        <v>1632</v>
      </c>
      <c r="T312" s="397">
        <v>1597</v>
      </c>
      <c r="U312" s="397">
        <v>235</v>
      </c>
      <c r="V312" s="397">
        <v>295</v>
      </c>
      <c r="W312" s="397">
        <v>365</v>
      </c>
      <c r="X312" s="397">
        <v>356</v>
      </c>
      <c r="Y312" s="399">
        <f>S312-('FMTC Main'!$E$22-U312)</f>
        <v>1867</v>
      </c>
      <c r="Z312" s="399">
        <f>T312-('FMTC Main'!$E$27-V312)</f>
        <v>1892</v>
      </c>
      <c r="AA312" s="400" t="str">
        <f>A312&amp;" "&amp;B312&amp;" "&amp;C312</f>
        <v>2011 Lamborghini Gallardo LP570-4 Superleggera</v>
      </c>
    </row>
    <row r="313" spans="1:27" ht="12.95" customHeight="1">
      <c r="A313" s="394">
        <v>2007</v>
      </c>
      <c r="B313" s="394" t="s">
        <v>182</v>
      </c>
      <c r="C313" s="394" t="s">
        <v>341</v>
      </c>
      <c r="D313" s="395">
        <v>210000</v>
      </c>
      <c r="E313" s="394" t="s">
        <v>1092</v>
      </c>
      <c r="F313" s="394">
        <v>675</v>
      </c>
      <c r="G313" s="396">
        <v>8.1999999999999993</v>
      </c>
      <c r="H313" s="396">
        <v>6</v>
      </c>
      <c r="I313" s="396">
        <v>8.3000000000000007</v>
      </c>
      <c r="J313" s="396">
        <v>9.1999999999999993</v>
      </c>
      <c r="K313" s="396">
        <v>6</v>
      </c>
      <c r="L313" s="394" t="s">
        <v>1084</v>
      </c>
      <c r="M313" s="394" t="s">
        <v>1096</v>
      </c>
      <c r="N313" s="389">
        <f>AVERAGE(H313,I313,K313)</f>
        <v>6.7666666666666666</v>
      </c>
      <c r="O313" s="397">
        <v>3434</v>
      </c>
      <c r="P313" s="398">
        <v>1900</v>
      </c>
      <c r="Q313" s="397">
        <v>1165</v>
      </c>
      <c r="R313" s="397">
        <v>2560</v>
      </c>
      <c r="S313" s="397">
        <v>1622</v>
      </c>
      <c r="T313" s="397">
        <v>1592</v>
      </c>
      <c r="U313" s="397">
        <v>235</v>
      </c>
      <c r="V313" s="397">
        <v>295</v>
      </c>
      <c r="W313" s="397">
        <v>365</v>
      </c>
      <c r="X313" s="397">
        <v>330</v>
      </c>
      <c r="Y313" s="399">
        <f>S313-('FMTC Main'!$E$22-U313)</f>
        <v>1857</v>
      </c>
      <c r="Z313" s="399">
        <f>T313-('FMTC Main'!$E$27-V313)</f>
        <v>1887</v>
      </c>
      <c r="AA313" s="400" t="str">
        <f>A313&amp;" "&amp;B313&amp;" "&amp;C313</f>
        <v>2007 Lamborghini Gallardo Superleggera</v>
      </c>
    </row>
    <row r="314" spans="1:27" ht="12.95" customHeight="1">
      <c r="A314" s="394">
        <v>2006</v>
      </c>
      <c r="B314" s="394" t="s">
        <v>182</v>
      </c>
      <c r="C314" s="394" t="s">
        <v>186</v>
      </c>
      <c r="D314" s="395">
        <v>420000</v>
      </c>
      <c r="E314" s="394" t="s">
        <v>1092</v>
      </c>
      <c r="F314" s="394">
        <v>698</v>
      </c>
      <c r="G314" s="396">
        <v>9.9</v>
      </c>
      <c r="H314" s="396">
        <v>5.8</v>
      </c>
      <c r="I314" s="396">
        <v>8.8000000000000007</v>
      </c>
      <c r="J314" s="396">
        <v>9.1999999999999993</v>
      </c>
      <c r="K314" s="396">
        <v>5.8</v>
      </c>
      <c r="L314" s="394" t="s">
        <v>1084</v>
      </c>
      <c r="M314" s="394"/>
      <c r="N314" s="389">
        <f>AVERAGE(H314,I314,K314)</f>
        <v>6.8000000000000007</v>
      </c>
      <c r="O314" s="397">
        <v>3286</v>
      </c>
      <c r="P314" s="398">
        <v>1990</v>
      </c>
      <c r="Q314" s="397">
        <v>1200</v>
      </c>
      <c r="R314" s="397">
        <v>2500</v>
      </c>
      <c r="S314" s="397">
        <v>1380</v>
      </c>
      <c r="T314" s="397">
        <v>1320</v>
      </c>
      <c r="U314" s="397">
        <v>245</v>
      </c>
      <c r="V314" s="397">
        <v>305</v>
      </c>
      <c r="W314" s="397">
        <v>365</v>
      </c>
      <c r="X314" s="397">
        <v>356</v>
      </c>
      <c r="Y314" s="399">
        <f>S314-('FMTC Main'!$E$22-U314)</f>
        <v>1625</v>
      </c>
      <c r="Z314" s="399">
        <f>T314-('FMTC Main'!$E$27-V314)</f>
        <v>1625</v>
      </c>
      <c r="AA314" s="400" t="str">
        <f>A314&amp;" "&amp;B314&amp;" "&amp;C314</f>
        <v>2006 Lamborghini Miura Concept</v>
      </c>
    </row>
    <row r="315" spans="1:27" ht="12.95" customHeight="1">
      <c r="A315" s="394">
        <v>1967</v>
      </c>
      <c r="B315" s="394" t="s">
        <v>182</v>
      </c>
      <c r="C315" s="394" t="s">
        <v>346</v>
      </c>
      <c r="D315" s="395">
        <v>400000</v>
      </c>
      <c r="E315" s="394" t="s">
        <v>1087</v>
      </c>
      <c r="F315" s="394">
        <v>396</v>
      </c>
      <c r="G315" s="396">
        <v>5.8</v>
      </c>
      <c r="H315" s="396">
        <v>4.4000000000000004</v>
      </c>
      <c r="I315" s="396">
        <v>7.2</v>
      </c>
      <c r="J315" s="396">
        <v>6.2</v>
      </c>
      <c r="K315" s="396">
        <v>4.3</v>
      </c>
      <c r="L315" s="394" t="s">
        <v>1084</v>
      </c>
      <c r="M315" s="394"/>
      <c r="N315" s="389">
        <f>AVERAGE(H315,I315,K315)</f>
        <v>5.3000000000000007</v>
      </c>
      <c r="O315" s="397">
        <v>2745</v>
      </c>
      <c r="P315" s="398">
        <v>1760</v>
      </c>
      <c r="Q315" s="397">
        <v>1050</v>
      </c>
      <c r="R315" s="397">
        <v>2500</v>
      </c>
      <c r="S315" s="397">
        <v>1420</v>
      </c>
      <c r="T315" s="397">
        <v>1420</v>
      </c>
      <c r="U315" s="397">
        <v>205</v>
      </c>
      <c r="V315" s="397">
        <v>205</v>
      </c>
      <c r="W315" s="397">
        <v>305</v>
      </c>
      <c r="X315" s="397">
        <v>280</v>
      </c>
      <c r="Y315" s="399">
        <f>S315-('FMTC Main'!$E$22-U315)</f>
        <v>1625</v>
      </c>
      <c r="Z315" s="399">
        <f>T315-('FMTC Main'!$E$27-V315)</f>
        <v>1625</v>
      </c>
      <c r="AA315" s="400" t="str">
        <f>A315&amp;" "&amp;B315&amp;" "&amp;C315</f>
        <v>1967 Lamborghini Miura P400</v>
      </c>
    </row>
    <row r="316" spans="1:27" ht="12.95" customHeight="1">
      <c r="A316" s="394">
        <v>2005</v>
      </c>
      <c r="B316" s="394" t="s">
        <v>182</v>
      </c>
      <c r="C316" s="394" t="s">
        <v>187</v>
      </c>
      <c r="D316" s="395">
        <v>180000</v>
      </c>
      <c r="E316" s="394" t="s">
        <v>1092</v>
      </c>
      <c r="F316" s="394">
        <v>610</v>
      </c>
      <c r="G316" s="396">
        <v>9.3000000000000007</v>
      </c>
      <c r="H316" s="396">
        <v>5.5</v>
      </c>
      <c r="I316" s="396">
        <v>7.8</v>
      </c>
      <c r="J316" s="396">
        <v>6.8</v>
      </c>
      <c r="K316" s="396">
        <v>5.4</v>
      </c>
      <c r="L316" s="394" t="s">
        <v>1084</v>
      </c>
      <c r="M316" s="394"/>
      <c r="N316" s="389">
        <f>AVERAGE(H316,I316,K316)</f>
        <v>6.2333333333333343</v>
      </c>
      <c r="O316" s="397">
        <v>4034</v>
      </c>
      <c r="P316" s="398">
        <v>2045</v>
      </c>
      <c r="Q316" s="397">
        <v>1068</v>
      </c>
      <c r="R316" s="397">
        <v>2665</v>
      </c>
      <c r="S316" s="397">
        <v>1635</v>
      </c>
      <c r="T316" s="397">
        <v>1695</v>
      </c>
      <c r="U316" s="397">
        <v>245</v>
      </c>
      <c r="V316" s="397">
        <v>335</v>
      </c>
      <c r="W316" s="397">
        <v>380</v>
      </c>
      <c r="X316" s="397">
        <v>380</v>
      </c>
      <c r="Y316" s="399">
        <f>S316-('FMTC Main'!$E$22-U316)</f>
        <v>1880</v>
      </c>
      <c r="Z316" s="399">
        <f>T316-('FMTC Main'!$E$27-V316)</f>
        <v>2030</v>
      </c>
      <c r="AA316" s="400" t="str">
        <f>A316&amp;" "&amp;B316&amp;" "&amp;C316</f>
        <v>2005 Lamborghini Murcielago</v>
      </c>
    </row>
    <row r="317" spans="1:27" ht="12.95" customHeight="1">
      <c r="A317" s="394">
        <v>2007</v>
      </c>
      <c r="B317" s="394" t="s">
        <v>182</v>
      </c>
      <c r="C317" s="394" t="s">
        <v>188</v>
      </c>
      <c r="D317" s="395"/>
      <c r="E317" s="394" t="s">
        <v>1092</v>
      </c>
      <c r="F317" s="394">
        <v>657</v>
      </c>
      <c r="G317" s="396">
        <v>8.6999999999999993</v>
      </c>
      <c r="H317" s="396">
        <v>5.7</v>
      </c>
      <c r="I317" s="396">
        <v>8.4</v>
      </c>
      <c r="J317" s="396">
        <v>7.8</v>
      </c>
      <c r="K317" s="396">
        <v>5.7</v>
      </c>
      <c r="L317" s="394" t="s">
        <v>1084</v>
      </c>
      <c r="M317" s="394" t="s">
        <v>1096</v>
      </c>
      <c r="N317" s="389">
        <f>AVERAGE(H317,I317,K317)</f>
        <v>6.6000000000000005</v>
      </c>
      <c r="O317" s="397">
        <v>4068</v>
      </c>
      <c r="P317" s="398">
        <v>2058</v>
      </c>
      <c r="Q317" s="397">
        <v>1135</v>
      </c>
      <c r="R317" s="397">
        <v>2664</v>
      </c>
      <c r="S317" s="397">
        <v>1635</v>
      </c>
      <c r="T317" s="397">
        <v>1695</v>
      </c>
      <c r="U317" s="397">
        <v>245</v>
      </c>
      <c r="V317" s="397">
        <v>335</v>
      </c>
      <c r="W317" s="397">
        <v>380</v>
      </c>
      <c r="X317" s="397">
        <v>380</v>
      </c>
      <c r="Y317" s="399">
        <f>S317-('FMTC Main'!$E$22-U317)</f>
        <v>1880</v>
      </c>
      <c r="Z317" s="399">
        <f>T317-('FMTC Main'!$E$27-V317)</f>
        <v>2030</v>
      </c>
      <c r="AA317" s="400" t="str">
        <f>A317&amp;" "&amp;B317&amp;" "&amp;C317</f>
        <v>2007 Lamborghini Murcielago LP640</v>
      </c>
    </row>
    <row r="318" spans="1:27" ht="12.95" customHeight="1">
      <c r="A318" s="394">
        <v>2010</v>
      </c>
      <c r="B318" s="394" t="s">
        <v>182</v>
      </c>
      <c r="C318" s="394" t="s">
        <v>902</v>
      </c>
      <c r="D318" s="395">
        <v>450000</v>
      </c>
      <c r="E318" s="394" t="s">
        <v>1094</v>
      </c>
      <c r="F318" s="394">
        <v>707</v>
      </c>
      <c r="G318" s="396">
        <v>9.1</v>
      </c>
      <c r="H318" s="396">
        <v>6.1</v>
      </c>
      <c r="I318" s="396">
        <v>8.6</v>
      </c>
      <c r="J318" s="396">
        <v>7.9</v>
      </c>
      <c r="K318" s="396">
        <v>6</v>
      </c>
      <c r="L318" s="394" t="s">
        <v>1084</v>
      </c>
      <c r="M318" s="394"/>
      <c r="N318" s="389">
        <f>AVERAGE(H318,I318,K318)</f>
        <v>6.8999999999999995</v>
      </c>
      <c r="O318" s="397">
        <v>3850</v>
      </c>
      <c r="P318" s="398">
        <v>2057</v>
      </c>
      <c r="Q318" s="397">
        <v>1135</v>
      </c>
      <c r="R318" s="397">
        <v>2664</v>
      </c>
      <c r="S318" s="397">
        <v>1635</v>
      </c>
      <c r="T318" s="397">
        <v>1694</v>
      </c>
      <c r="U318" s="397">
        <v>245</v>
      </c>
      <c r="V318" s="397">
        <v>335</v>
      </c>
      <c r="W318" s="397">
        <v>380</v>
      </c>
      <c r="X318" s="397">
        <v>355</v>
      </c>
      <c r="Y318" s="399">
        <f>S318-('FMTC Main'!$E$22-U318)</f>
        <v>1880</v>
      </c>
      <c r="Z318" s="399">
        <f>T318-('FMTC Main'!$E$27-V318)</f>
        <v>2029</v>
      </c>
      <c r="AA318" s="400" t="str">
        <f>A318&amp;" "&amp;B318&amp;" "&amp;C318</f>
        <v>2010 Lamborghini Murcielago LP670-4 SV</v>
      </c>
    </row>
    <row r="319" spans="1:27" ht="12.95" customHeight="1">
      <c r="A319" s="394">
        <v>2008</v>
      </c>
      <c r="B319" s="394" t="s">
        <v>182</v>
      </c>
      <c r="C319" s="394" t="s">
        <v>189</v>
      </c>
      <c r="D319" s="395">
        <v>2100000</v>
      </c>
      <c r="E319" s="394" t="s">
        <v>1092</v>
      </c>
      <c r="F319" s="394">
        <v>677</v>
      </c>
      <c r="G319" s="396">
        <v>9</v>
      </c>
      <c r="H319" s="396">
        <v>5.8</v>
      </c>
      <c r="I319" s="396">
        <v>8.4</v>
      </c>
      <c r="J319" s="396">
        <v>7.8</v>
      </c>
      <c r="K319" s="396">
        <v>5.7</v>
      </c>
      <c r="L319" s="394" t="s">
        <v>1084</v>
      </c>
      <c r="M319" s="394"/>
      <c r="N319" s="389">
        <f>AVERAGE(H319,I319,K319)</f>
        <v>6.6333333333333329</v>
      </c>
      <c r="O319" s="397">
        <v>4068</v>
      </c>
      <c r="P319" s="398">
        <v>2058</v>
      </c>
      <c r="Q319" s="397">
        <v>1135</v>
      </c>
      <c r="R319" s="397">
        <v>2665</v>
      </c>
      <c r="S319" s="397">
        <v>1635</v>
      </c>
      <c r="T319" s="397">
        <v>1695</v>
      </c>
      <c r="U319" s="397">
        <v>245</v>
      </c>
      <c r="V319" s="397">
        <v>335</v>
      </c>
      <c r="W319" s="397">
        <v>380</v>
      </c>
      <c r="X319" s="397">
        <v>355</v>
      </c>
      <c r="Y319" s="399">
        <f>S319-('FMTC Main'!$E$22-U319)</f>
        <v>1880</v>
      </c>
      <c r="Z319" s="399">
        <f>T319-('FMTC Main'!$E$27-V319)</f>
        <v>2030</v>
      </c>
      <c r="AA319" s="400" t="str">
        <f>A319&amp;" "&amp;B319&amp;" "&amp;C319</f>
        <v>2008 Lamborghini Reventon</v>
      </c>
    </row>
    <row r="320" spans="1:27" ht="12.95" customHeight="1">
      <c r="A320" s="394">
        <v>2011</v>
      </c>
      <c r="B320" s="394" t="s">
        <v>182</v>
      </c>
      <c r="C320" s="394" t="s">
        <v>905</v>
      </c>
      <c r="D320" s="395">
        <v>2500000</v>
      </c>
      <c r="E320" s="394" t="s">
        <v>1094</v>
      </c>
      <c r="F320" s="394">
        <v>741</v>
      </c>
      <c r="G320" s="396">
        <v>8.8000000000000007</v>
      </c>
      <c r="H320" s="396">
        <v>6.5</v>
      </c>
      <c r="I320" s="396">
        <v>9.1999999999999993</v>
      </c>
      <c r="J320" s="396">
        <v>10</v>
      </c>
      <c r="K320" s="396">
        <v>6.3</v>
      </c>
      <c r="L320" s="394" t="s">
        <v>1084</v>
      </c>
      <c r="M320" s="394"/>
      <c r="N320" s="389">
        <f>AVERAGE(H320,I320,K320)</f>
        <v>7.333333333333333</v>
      </c>
      <c r="O320" s="397">
        <v>2593</v>
      </c>
      <c r="P320" s="398">
        <v>1900</v>
      </c>
      <c r="Q320" s="397">
        <v>1170</v>
      </c>
      <c r="R320" s="397">
        <v>2560</v>
      </c>
      <c r="S320" s="397">
        <v>1623</v>
      </c>
      <c r="T320" s="397">
        <v>1597</v>
      </c>
      <c r="U320" s="397">
        <v>235</v>
      </c>
      <c r="V320" s="397">
        <v>295</v>
      </c>
      <c r="W320" s="397">
        <v>365</v>
      </c>
      <c r="X320" s="397">
        <v>356</v>
      </c>
      <c r="Y320" s="399">
        <f>S320-('FMTC Main'!$E$22-U320)</f>
        <v>1858</v>
      </c>
      <c r="Z320" s="399">
        <f>T320-('FMTC Main'!$E$27-V320)</f>
        <v>1892</v>
      </c>
      <c r="AA320" s="400" t="str">
        <f>A320&amp;" "&amp;B320&amp;" "&amp;C320</f>
        <v>2011 Lamborghini Sesto Elemento</v>
      </c>
    </row>
    <row r="321" spans="1:27" ht="12.95" customHeight="1">
      <c r="A321" s="394">
        <v>1982</v>
      </c>
      <c r="B321" s="394" t="s">
        <v>312</v>
      </c>
      <c r="C321" s="394" t="s">
        <v>741</v>
      </c>
      <c r="D321" s="395">
        <v>240000</v>
      </c>
      <c r="E321" s="394" t="s">
        <v>1087</v>
      </c>
      <c r="F321" s="394">
        <v>362</v>
      </c>
      <c r="G321" s="396">
        <v>4.5</v>
      </c>
      <c r="H321" s="396">
        <v>5.4</v>
      </c>
      <c r="I321" s="396">
        <v>5.6</v>
      </c>
      <c r="J321" s="396">
        <v>6</v>
      </c>
      <c r="K321" s="396">
        <v>5.3</v>
      </c>
      <c r="L321" s="394" t="s">
        <v>1084</v>
      </c>
      <c r="M321" s="394"/>
      <c r="N321" s="389">
        <f>AVERAGE(H321,I321,K321)</f>
        <v>5.4333333333333336</v>
      </c>
      <c r="O321" s="397">
        <v>2540</v>
      </c>
      <c r="P321" s="398">
        <v>1850</v>
      </c>
      <c r="Q321" s="397">
        <v>1245</v>
      </c>
      <c r="R321" s="397">
        <v>2445</v>
      </c>
      <c r="S321" s="397">
        <v>1508</v>
      </c>
      <c r="T321" s="397">
        <v>1490</v>
      </c>
      <c r="U321" s="397">
        <v>205</v>
      </c>
      <c r="V321" s="397">
        <v>225</v>
      </c>
      <c r="W321" s="397">
        <v>300</v>
      </c>
      <c r="X321" s="397">
        <v>300</v>
      </c>
      <c r="Y321" s="399">
        <f>S321-('FMTC Main'!$E$22-U321)</f>
        <v>1713</v>
      </c>
      <c r="Z321" s="399">
        <f>T321-('FMTC Main'!$E$27-V321)</f>
        <v>1715</v>
      </c>
      <c r="AA321" s="400" t="str">
        <f>A321&amp;" "&amp;B321&amp;" "&amp;C321</f>
        <v>1982 Lancia 037 Stradale</v>
      </c>
    </row>
    <row r="322" spans="1:27" ht="12.95" customHeight="1">
      <c r="A322" s="394">
        <v>1992</v>
      </c>
      <c r="B322" s="394" t="s">
        <v>312</v>
      </c>
      <c r="C322" s="394" t="s">
        <v>906</v>
      </c>
      <c r="D322" s="395">
        <v>22000</v>
      </c>
      <c r="E322" s="394" t="s">
        <v>1087</v>
      </c>
      <c r="F322" s="394">
        <v>396</v>
      </c>
      <c r="G322" s="396">
        <v>3.9</v>
      </c>
      <c r="H322" s="396">
        <v>4.4000000000000004</v>
      </c>
      <c r="I322" s="396">
        <v>6.3</v>
      </c>
      <c r="J322" s="396">
        <v>7.2</v>
      </c>
      <c r="K322" s="396">
        <v>4.4000000000000004</v>
      </c>
      <c r="L322" s="394" t="s">
        <v>1084</v>
      </c>
      <c r="M322" s="394"/>
      <c r="N322" s="389">
        <f>AVERAGE(H322,I322,K322)</f>
        <v>5.0333333333333332</v>
      </c>
      <c r="O322" s="397">
        <v>2866</v>
      </c>
      <c r="P322" s="398">
        <v>1770</v>
      </c>
      <c r="Q322" s="397">
        <v>1110</v>
      </c>
      <c r="R322" s="397">
        <v>2440</v>
      </c>
      <c r="S322" s="397">
        <v>1430</v>
      </c>
      <c r="T322" s="397">
        <v>1460</v>
      </c>
      <c r="U322" s="397">
        <v>205</v>
      </c>
      <c r="V322" s="397">
        <v>205</v>
      </c>
      <c r="W322" s="397">
        <v>250</v>
      </c>
      <c r="X322" s="397">
        <v>250</v>
      </c>
      <c r="Y322" s="399">
        <f>S322-('FMTC Main'!$E$22-U322)</f>
        <v>1635</v>
      </c>
      <c r="Z322" s="399">
        <f>T322-('FMTC Main'!$E$27-V322)</f>
        <v>1665</v>
      </c>
      <c r="AA322" s="400" t="str">
        <f>A322&amp;" "&amp;B322&amp;" "&amp;C322</f>
        <v>1992 Lancia Delta HF Integrale EVO</v>
      </c>
    </row>
    <row r="323" spans="1:27" ht="12.95" customHeight="1">
      <c r="A323" s="394">
        <v>1974</v>
      </c>
      <c r="B323" s="394" t="s">
        <v>312</v>
      </c>
      <c r="C323" s="394" t="s">
        <v>313</v>
      </c>
      <c r="D323" s="395">
        <v>50000</v>
      </c>
      <c r="E323" s="394" t="s">
        <v>1085</v>
      </c>
      <c r="F323" s="394">
        <v>346</v>
      </c>
      <c r="G323" s="396">
        <v>4.3</v>
      </c>
      <c r="H323" s="396">
        <v>4.5999999999999996</v>
      </c>
      <c r="I323" s="396">
        <v>6.5</v>
      </c>
      <c r="J323" s="396">
        <v>7.3</v>
      </c>
      <c r="K323" s="396">
        <v>4.5999999999999996</v>
      </c>
      <c r="L323" s="394" t="s">
        <v>1084</v>
      </c>
      <c r="M323" s="394"/>
      <c r="N323" s="389">
        <f>AVERAGE(H323,I323,K323)</f>
        <v>5.2333333333333334</v>
      </c>
      <c r="O323" s="397">
        <v>2161</v>
      </c>
      <c r="P323" s="398">
        <v>1750</v>
      </c>
      <c r="Q323" s="397">
        <v>1110</v>
      </c>
      <c r="R323" s="397">
        <v>2180</v>
      </c>
      <c r="S323" s="397">
        <v>1430</v>
      </c>
      <c r="T323" s="397">
        <v>1460</v>
      </c>
      <c r="U323" s="397">
        <v>205</v>
      </c>
      <c r="V323" s="397">
        <v>205</v>
      </c>
      <c r="W323" s="397">
        <v>250</v>
      </c>
      <c r="X323" s="397">
        <v>250</v>
      </c>
      <c r="Y323" s="399">
        <f>S323-('FMTC Main'!$E$22-U323)</f>
        <v>1635</v>
      </c>
      <c r="Z323" s="399">
        <f>T323-('FMTC Main'!$E$27-V323)</f>
        <v>1665</v>
      </c>
      <c r="AA323" s="400" t="str">
        <f>A323&amp;" "&amp;B323&amp;" "&amp;C323</f>
        <v>1974 Lancia Stratos HF Stradale</v>
      </c>
    </row>
    <row r="324" spans="1:27" ht="12.95" customHeight="1">
      <c r="A324" s="394">
        <v>2009</v>
      </c>
      <c r="B324" s="394" t="s">
        <v>198</v>
      </c>
      <c r="C324" s="394" t="s">
        <v>199</v>
      </c>
      <c r="D324" s="395">
        <v>68000</v>
      </c>
      <c r="E324" s="394" t="s">
        <v>1087</v>
      </c>
      <c r="F324" s="394">
        <v>357</v>
      </c>
      <c r="G324" s="396">
        <v>5.2</v>
      </c>
      <c r="H324" s="396">
        <v>3.5</v>
      </c>
      <c r="I324" s="396">
        <v>5.9</v>
      </c>
      <c r="J324" s="396">
        <v>6.6</v>
      </c>
      <c r="K324" s="396">
        <v>3.8</v>
      </c>
      <c r="L324" s="394" t="s">
        <v>1076</v>
      </c>
      <c r="M324" s="394"/>
      <c r="N324" s="389">
        <f>AVERAGE(H324,I324,K324)</f>
        <v>4.3999999999999995</v>
      </c>
      <c r="O324" s="397">
        <v>5842</v>
      </c>
      <c r="P324" s="398">
        <v>1956</v>
      </c>
      <c r="Q324" s="397">
        <v>1903</v>
      </c>
      <c r="R324" s="397">
        <v>2880</v>
      </c>
      <c r="S324" s="397">
        <v>1629</v>
      </c>
      <c r="T324" s="397">
        <v>1625</v>
      </c>
      <c r="U324" s="397">
        <v>255</v>
      </c>
      <c r="V324" s="397">
        <v>255</v>
      </c>
      <c r="W324" s="397">
        <v>360</v>
      </c>
      <c r="X324" s="397">
        <v>354</v>
      </c>
      <c r="Y324" s="399">
        <f>S324-('FMTC Main'!$E$22-U324)</f>
        <v>1884</v>
      </c>
      <c r="Z324" s="399">
        <f>T324-('FMTC Main'!$E$27-V324)</f>
        <v>1880</v>
      </c>
      <c r="AA324" s="400" t="str">
        <f>A324&amp;" "&amp;B324&amp;" "&amp;C324</f>
        <v>2009 Land Rover Range Rover Supercharged</v>
      </c>
    </row>
    <row r="325" spans="1:27" ht="12.95" customHeight="1">
      <c r="A325" s="394">
        <v>2008</v>
      </c>
      <c r="B325" s="394" t="s">
        <v>190</v>
      </c>
      <c r="C325" s="394" t="s">
        <v>908</v>
      </c>
      <c r="D325" s="395">
        <v>1500000</v>
      </c>
      <c r="E325" s="394" t="s">
        <v>1091</v>
      </c>
      <c r="F325" s="394">
        <v>857</v>
      </c>
      <c r="G325" s="396">
        <v>7.1</v>
      </c>
      <c r="H325" s="396">
        <v>9.1</v>
      </c>
      <c r="I325" s="396">
        <v>9.1</v>
      </c>
      <c r="J325" s="396">
        <v>8.1</v>
      </c>
      <c r="K325" s="396">
        <v>9.1</v>
      </c>
      <c r="L325" s="394" t="s">
        <v>1075</v>
      </c>
      <c r="M325" s="394"/>
      <c r="N325" s="389">
        <f>AVERAGE(H325,I325,K325)</f>
        <v>9.1</v>
      </c>
      <c r="O325" s="397">
        <v>2425</v>
      </c>
      <c r="P325" s="398">
        <v>1925</v>
      </c>
      <c r="Q325" s="397">
        <v>1350</v>
      </c>
      <c r="R325" s="397">
        <v>2619</v>
      </c>
      <c r="S325" s="397">
        <v>1550</v>
      </c>
      <c r="T325" s="397">
        <v>1530</v>
      </c>
      <c r="U325" s="397">
        <v>330</v>
      </c>
      <c r="V325" s="397">
        <v>330</v>
      </c>
      <c r="W325" s="397">
        <v>380</v>
      </c>
      <c r="X325" s="397">
        <v>355</v>
      </c>
      <c r="Y325" s="399">
        <f>S325-('FMTC Main'!$E$22-U325)</f>
        <v>1880</v>
      </c>
      <c r="Z325" s="399">
        <f>T325-('FMTC Main'!$E$27-V325)</f>
        <v>1860</v>
      </c>
      <c r="AA325" s="400" t="str">
        <f>A325&amp;" "&amp;B325&amp;" "&amp;C325</f>
        <v>2008 Lexus #1 Petronas Tom's SC430</v>
      </c>
    </row>
    <row r="326" spans="1:27" ht="12.95" customHeight="1">
      <c r="A326" s="394">
        <v>2008</v>
      </c>
      <c r="B326" s="394" t="s">
        <v>190</v>
      </c>
      <c r="C326" s="394" t="s">
        <v>909</v>
      </c>
      <c r="D326" s="395">
        <v>1500000</v>
      </c>
      <c r="E326" s="394" t="s">
        <v>1091</v>
      </c>
      <c r="F326" s="394">
        <v>857</v>
      </c>
      <c r="G326" s="396">
        <v>7.1</v>
      </c>
      <c r="H326" s="396">
        <v>9.1</v>
      </c>
      <c r="I326" s="396">
        <v>9.1</v>
      </c>
      <c r="J326" s="396">
        <v>8.1</v>
      </c>
      <c r="K326" s="396">
        <v>9.1</v>
      </c>
      <c r="L326" s="394" t="s">
        <v>1075</v>
      </c>
      <c r="M326" s="394"/>
      <c r="N326" s="389">
        <f>AVERAGE(H326,I326,K326)</f>
        <v>9.1</v>
      </c>
      <c r="O326" s="397">
        <v>2425</v>
      </c>
      <c r="P326" s="398">
        <v>1925</v>
      </c>
      <c r="Q326" s="397">
        <v>1350</v>
      </c>
      <c r="R326" s="397">
        <v>2619</v>
      </c>
      <c r="S326" s="397">
        <v>1550</v>
      </c>
      <c r="T326" s="397">
        <v>1530</v>
      </c>
      <c r="U326" s="397">
        <v>330</v>
      </c>
      <c r="V326" s="397">
        <v>330</v>
      </c>
      <c r="W326" s="397">
        <v>380</v>
      </c>
      <c r="X326" s="397">
        <v>355</v>
      </c>
      <c r="Y326" s="399">
        <f>S326-('FMTC Main'!$E$22-U326)</f>
        <v>1880</v>
      </c>
      <c r="Z326" s="399">
        <f>T326-('FMTC Main'!$E$27-V326)</f>
        <v>1860</v>
      </c>
      <c r="AA326" s="400" t="str">
        <f>A326&amp;" "&amp;B326&amp;" "&amp;C326</f>
        <v>2008 Lexus #25 Eclipse Advan SC430</v>
      </c>
    </row>
    <row r="327" spans="1:27" ht="12.95" customHeight="1">
      <c r="A327" s="394">
        <v>2008</v>
      </c>
      <c r="B327" s="394" t="s">
        <v>190</v>
      </c>
      <c r="C327" s="394" t="s">
        <v>910</v>
      </c>
      <c r="D327" s="395">
        <v>1500000</v>
      </c>
      <c r="E327" s="394" t="s">
        <v>1091</v>
      </c>
      <c r="F327" s="394">
        <v>857</v>
      </c>
      <c r="G327" s="396">
        <v>7.1</v>
      </c>
      <c r="H327" s="396">
        <v>9.1</v>
      </c>
      <c r="I327" s="396">
        <v>9.1</v>
      </c>
      <c r="J327" s="396">
        <v>8.1</v>
      </c>
      <c r="K327" s="396">
        <v>9.1</v>
      </c>
      <c r="L327" s="394" t="s">
        <v>1075</v>
      </c>
      <c r="M327" s="394"/>
      <c r="N327" s="389">
        <f>AVERAGE(H327,I327,K327)</f>
        <v>9.1</v>
      </c>
      <c r="O327" s="397">
        <v>2425</v>
      </c>
      <c r="P327" s="398">
        <v>1925</v>
      </c>
      <c r="Q327" s="397">
        <v>1350</v>
      </c>
      <c r="R327" s="397">
        <v>2619</v>
      </c>
      <c r="S327" s="397">
        <v>1550</v>
      </c>
      <c r="T327" s="397">
        <v>1530</v>
      </c>
      <c r="U327" s="397">
        <v>330</v>
      </c>
      <c r="V327" s="397">
        <v>330</v>
      </c>
      <c r="W327" s="397">
        <v>380</v>
      </c>
      <c r="X327" s="397">
        <v>355</v>
      </c>
      <c r="Y327" s="399">
        <f>S327-('FMTC Main'!$E$22-U327)</f>
        <v>1880</v>
      </c>
      <c r="Z327" s="399">
        <f>T327-('FMTC Main'!$E$27-V327)</f>
        <v>1860</v>
      </c>
      <c r="AA327" s="400" t="str">
        <f>A327&amp;" "&amp;B327&amp;" "&amp;C327</f>
        <v>2008 Lexus #6 Eneos SC430</v>
      </c>
    </row>
    <row r="328" spans="1:27" ht="12.95" customHeight="1">
      <c r="A328" s="394">
        <v>2011</v>
      </c>
      <c r="B328" s="394" t="s">
        <v>190</v>
      </c>
      <c r="C328" s="394" t="s">
        <v>912</v>
      </c>
      <c r="D328" s="395">
        <v>25000</v>
      </c>
      <c r="E328" s="394" t="s">
        <v>1099</v>
      </c>
      <c r="F328" s="394">
        <v>195</v>
      </c>
      <c r="G328" s="396">
        <v>3.3</v>
      </c>
      <c r="H328" s="396">
        <v>4.5</v>
      </c>
      <c r="I328" s="396">
        <v>4.2</v>
      </c>
      <c r="J328" s="396">
        <v>3</v>
      </c>
      <c r="K328" s="396">
        <v>4.3</v>
      </c>
      <c r="L328" s="394" t="s">
        <v>1075</v>
      </c>
      <c r="M328" s="394"/>
      <c r="N328" s="389">
        <f>AVERAGE(H328,I328,K328)</f>
        <v>4.333333333333333</v>
      </c>
      <c r="O328" s="397">
        <v>3131</v>
      </c>
      <c r="P328" s="398">
        <v>1765</v>
      </c>
      <c r="Q328" s="397">
        <v>1440</v>
      </c>
      <c r="R328" s="397">
        <v>2600</v>
      </c>
      <c r="S328" s="397">
        <v>1524</v>
      </c>
      <c r="T328" s="397">
        <v>1519</v>
      </c>
      <c r="U328" s="397">
        <v>215</v>
      </c>
      <c r="V328" s="397">
        <v>215</v>
      </c>
      <c r="W328" s="397">
        <v>253</v>
      </c>
      <c r="X328" s="397">
        <v>279</v>
      </c>
      <c r="Y328" s="399">
        <f>S328-('FMTC Main'!$E$22-U328)</f>
        <v>1739</v>
      </c>
      <c r="Z328" s="399">
        <f>T328-('FMTC Main'!$E$27-V328)</f>
        <v>1734</v>
      </c>
      <c r="AA328" s="400" t="str">
        <f>A328&amp;" "&amp;B328&amp;" "&amp;C328</f>
        <v>2011 Lexus CT200h</v>
      </c>
    </row>
    <row r="329" spans="1:27" ht="12.95" customHeight="1">
      <c r="A329" s="394">
        <v>2003</v>
      </c>
      <c r="B329" s="394" t="s">
        <v>190</v>
      </c>
      <c r="C329" s="394" t="s">
        <v>191</v>
      </c>
      <c r="D329" s="395">
        <v>51000</v>
      </c>
      <c r="E329" s="394" t="s">
        <v>349</v>
      </c>
      <c r="F329" s="394">
        <v>511</v>
      </c>
      <c r="G329" s="396">
        <v>8</v>
      </c>
      <c r="H329" s="396">
        <v>5</v>
      </c>
      <c r="I329" s="396">
        <v>7.3</v>
      </c>
      <c r="J329" s="396">
        <v>7</v>
      </c>
      <c r="K329" s="396">
        <v>4.9000000000000004</v>
      </c>
      <c r="L329" s="394" t="s">
        <v>1075</v>
      </c>
      <c r="M329" s="394"/>
      <c r="N329" s="389">
        <f>AVERAGE(H329,I329,K329)</f>
        <v>5.7333333333333343</v>
      </c>
      <c r="O329" s="397">
        <v>3780</v>
      </c>
      <c r="P329" s="398">
        <v>1725</v>
      </c>
      <c r="Q329" s="397">
        <v>1405</v>
      </c>
      <c r="R329" s="397">
        <v>2669</v>
      </c>
      <c r="S329" s="397">
        <v>1518</v>
      </c>
      <c r="T329" s="397">
        <v>1486</v>
      </c>
      <c r="U329" s="397">
        <v>215</v>
      </c>
      <c r="V329" s="397">
        <v>215</v>
      </c>
      <c r="W329" s="397">
        <v>296</v>
      </c>
      <c r="X329" s="397">
        <v>308</v>
      </c>
      <c r="Y329" s="399">
        <f>S329-('FMTC Main'!$E$22-U329)</f>
        <v>1733</v>
      </c>
      <c r="Z329" s="399">
        <f>T329-('FMTC Main'!$E$27-V329)</f>
        <v>1701</v>
      </c>
      <c r="AA329" s="400" t="str">
        <f>A329&amp;" "&amp;B329&amp;" "&amp;C329</f>
        <v>2003 Lexus IS300</v>
      </c>
    </row>
    <row r="330" spans="1:27" ht="12.95" customHeight="1">
      <c r="A330" s="394">
        <v>2006</v>
      </c>
      <c r="B330" s="394" t="s">
        <v>190</v>
      </c>
      <c r="C330" s="394" t="s">
        <v>192</v>
      </c>
      <c r="D330" s="395">
        <v>12000</v>
      </c>
      <c r="E330" s="394" t="s">
        <v>1085</v>
      </c>
      <c r="F330" s="394">
        <v>342</v>
      </c>
      <c r="G330" s="396">
        <v>5.5</v>
      </c>
      <c r="H330" s="396">
        <v>4.7</v>
      </c>
      <c r="I330" s="396">
        <v>5.7</v>
      </c>
      <c r="J330" s="396">
        <v>6.3</v>
      </c>
      <c r="K330" s="396">
        <v>4.5999999999999996</v>
      </c>
      <c r="L330" s="394" t="s">
        <v>1075</v>
      </c>
      <c r="M330" s="394"/>
      <c r="N330" s="389">
        <f>AVERAGE(H330,I330,K330)</f>
        <v>5</v>
      </c>
      <c r="O330" s="397">
        <v>3307</v>
      </c>
      <c r="P330" s="398">
        <v>1800</v>
      </c>
      <c r="Q330" s="397">
        <v>1425</v>
      </c>
      <c r="R330" s="397">
        <v>2717</v>
      </c>
      <c r="S330" s="397">
        <v>1534</v>
      </c>
      <c r="T330" s="397">
        <v>1534</v>
      </c>
      <c r="U330" s="397">
        <v>225</v>
      </c>
      <c r="V330" s="397">
        <v>255</v>
      </c>
      <c r="W330" s="397">
        <v>334</v>
      </c>
      <c r="X330" s="397">
        <v>310</v>
      </c>
      <c r="Y330" s="399">
        <f>S330-('FMTC Main'!$E$22-U330)</f>
        <v>1759</v>
      </c>
      <c r="Z330" s="399">
        <f>T330-('FMTC Main'!$E$27-V330)</f>
        <v>1789</v>
      </c>
      <c r="AA330" s="400" t="str">
        <f>A330&amp;" "&amp;B330&amp;" "&amp;C330</f>
        <v>2006 Lexus IS350</v>
      </c>
    </row>
    <row r="331" spans="1:27" ht="12.95" customHeight="1">
      <c r="A331" s="394">
        <v>2009</v>
      </c>
      <c r="B331" s="394" t="s">
        <v>190</v>
      </c>
      <c r="C331" s="394" t="s">
        <v>911</v>
      </c>
      <c r="D331" s="395">
        <v>22000</v>
      </c>
      <c r="E331" s="394" t="s">
        <v>1087</v>
      </c>
      <c r="F331" s="394">
        <v>397</v>
      </c>
      <c r="G331" s="396">
        <v>6.4</v>
      </c>
      <c r="H331" s="396">
        <v>4.8</v>
      </c>
      <c r="I331" s="396">
        <v>6.2</v>
      </c>
      <c r="J331" s="396">
        <v>6.7</v>
      </c>
      <c r="K331" s="396">
        <v>4.5999999999999996</v>
      </c>
      <c r="L331" s="394" t="s">
        <v>1075</v>
      </c>
      <c r="M331" s="394"/>
      <c r="N331" s="389">
        <f>AVERAGE(H331,I331,K331)</f>
        <v>5.2</v>
      </c>
      <c r="O331" s="397">
        <v>3527</v>
      </c>
      <c r="P331" s="398">
        <v>1815</v>
      </c>
      <c r="Q331" s="397">
        <v>1415</v>
      </c>
      <c r="R331" s="397">
        <v>2730</v>
      </c>
      <c r="S331" s="397">
        <v>1560</v>
      </c>
      <c r="T331" s="397">
        <v>1515</v>
      </c>
      <c r="U331" s="397">
        <v>225</v>
      </c>
      <c r="V331" s="397">
        <v>255</v>
      </c>
      <c r="W331" s="397">
        <v>360</v>
      </c>
      <c r="X331" s="397">
        <v>345</v>
      </c>
      <c r="Y331" s="399">
        <f>S331-('FMTC Main'!$E$22-U331)</f>
        <v>1785</v>
      </c>
      <c r="Z331" s="399">
        <f>T331-('FMTC Main'!$E$27-V331)</f>
        <v>1770</v>
      </c>
      <c r="AA331" s="400" t="str">
        <f>A331&amp;" "&amp;B331&amp;" "&amp;C331</f>
        <v>2009 Lexus IS-F</v>
      </c>
    </row>
    <row r="332" spans="1:27" ht="12.95" customHeight="1">
      <c r="A332" s="394">
        <v>2010</v>
      </c>
      <c r="B332" s="394" t="s">
        <v>190</v>
      </c>
      <c r="C332" s="394" t="s">
        <v>702</v>
      </c>
      <c r="D332" s="395">
        <v>350000</v>
      </c>
      <c r="E332" s="394" t="s">
        <v>1092</v>
      </c>
      <c r="F332" s="394">
        <v>613</v>
      </c>
      <c r="G332" s="396">
        <v>8.3000000000000007</v>
      </c>
      <c r="H332" s="396">
        <v>5.8</v>
      </c>
      <c r="I332" s="396">
        <v>8.3000000000000007</v>
      </c>
      <c r="J332" s="396">
        <v>7.8</v>
      </c>
      <c r="K332" s="396">
        <v>5.8</v>
      </c>
      <c r="L332" s="394" t="s">
        <v>1075</v>
      </c>
      <c r="M332" s="394"/>
      <c r="N332" s="389">
        <f>AVERAGE(H332,I332,K332)</f>
        <v>6.6333333333333337</v>
      </c>
      <c r="O332" s="397">
        <v>3263</v>
      </c>
      <c r="P332" s="398">
        <v>1895</v>
      </c>
      <c r="Q332" s="397">
        <v>1220</v>
      </c>
      <c r="R332" s="397">
        <v>2605</v>
      </c>
      <c r="S332" s="397">
        <v>1580</v>
      </c>
      <c r="T332" s="397">
        <v>1570</v>
      </c>
      <c r="U332" s="397">
        <v>265</v>
      </c>
      <c r="V332" s="397">
        <v>305</v>
      </c>
      <c r="W332" s="397">
        <v>390</v>
      </c>
      <c r="X332" s="397">
        <v>360</v>
      </c>
      <c r="Y332" s="399">
        <f>S332-('FMTC Main'!$E$22-U332)</f>
        <v>1845</v>
      </c>
      <c r="Z332" s="399">
        <f>T332-('FMTC Main'!$E$27-V332)</f>
        <v>1875</v>
      </c>
      <c r="AA332" s="400" t="str">
        <f>A332&amp;" "&amp;B332&amp;" "&amp;C332</f>
        <v>2010 Lexus LF-A</v>
      </c>
    </row>
    <row r="333" spans="1:27" ht="12.95" customHeight="1">
      <c r="A333" s="394">
        <v>1997</v>
      </c>
      <c r="B333" s="394" t="s">
        <v>190</v>
      </c>
      <c r="C333" s="394" t="s">
        <v>907</v>
      </c>
      <c r="D333" s="395">
        <v>9000</v>
      </c>
      <c r="E333" s="394" t="s">
        <v>1085</v>
      </c>
      <c r="F333" s="394">
        <v>308</v>
      </c>
      <c r="G333" s="396">
        <v>5.2</v>
      </c>
      <c r="H333" s="396">
        <v>4.7</v>
      </c>
      <c r="I333" s="396">
        <v>5.2</v>
      </c>
      <c r="J333" s="396">
        <v>5.6</v>
      </c>
      <c r="K333" s="396">
        <v>4.5999999999999996</v>
      </c>
      <c r="L333" s="394" t="s">
        <v>1075</v>
      </c>
      <c r="M333" s="394" t="s">
        <v>1109</v>
      </c>
      <c r="N333" s="389">
        <f>AVERAGE(H333,I333,K333)</f>
        <v>4.833333333333333</v>
      </c>
      <c r="O333" s="397">
        <v>3560</v>
      </c>
      <c r="P333" s="398">
        <v>1790</v>
      </c>
      <c r="Q333" s="397">
        <v>1336</v>
      </c>
      <c r="R333" s="397">
        <v>2692</v>
      </c>
      <c r="S333" s="397">
        <v>1521</v>
      </c>
      <c r="T333" s="397">
        <v>1524</v>
      </c>
      <c r="U333" s="397">
        <v>215</v>
      </c>
      <c r="V333" s="397">
        <v>215</v>
      </c>
      <c r="W333" s="397">
        <v>296</v>
      </c>
      <c r="X333" s="397">
        <v>308</v>
      </c>
      <c r="Y333" s="399">
        <f>S333-('FMTC Main'!$E$22-U333)</f>
        <v>1736</v>
      </c>
      <c r="Z333" s="399">
        <f>T333-('FMTC Main'!$E$27-V333)</f>
        <v>1739</v>
      </c>
      <c r="AA333" s="400" t="str">
        <f>A333&amp;" "&amp;B333&amp;" "&amp;C333</f>
        <v>1997 Lexus SC300</v>
      </c>
    </row>
    <row r="334" spans="1:27" ht="12.95" customHeight="1">
      <c r="A334" s="394">
        <v>2002</v>
      </c>
      <c r="B334" s="394" t="s">
        <v>190</v>
      </c>
      <c r="C334" s="394" t="s">
        <v>193</v>
      </c>
      <c r="D334" s="395">
        <v>18000</v>
      </c>
      <c r="E334" s="394" t="s">
        <v>1087</v>
      </c>
      <c r="F334" s="394">
        <v>373</v>
      </c>
      <c r="G334" s="396">
        <v>6.1</v>
      </c>
      <c r="H334" s="396">
        <v>4.7</v>
      </c>
      <c r="I334" s="396">
        <v>6.1</v>
      </c>
      <c r="J334" s="396">
        <v>6.5</v>
      </c>
      <c r="K334" s="396">
        <v>4.5999999999999996</v>
      </c>
      <c r="L334" s="394" t="s">
        <v>1075</v>
      </c>
      <c r="M334" s="394"/>
      <c r="N334" s="389">
        <f>AVERAGE(H334,I334,K334)</f>
        <v>5.1333333333333337</v>
      </c>
      <c r="O334" s="397">
        <v>3836</v>
      </c>
      <c r="P334" s="398">
        <v>1825</v>
      </c>
      <c r="Q334" s="397">
        <v>1350</v>
      </c>
      <c r="R334" s="397">
        <v>2619</v>
      </c>
      <c r="S334" s="397">
        <v>1550</v>
      </c>
      <c r="T334" s="397">
        <v>1530</v>
      </c>
      <c r="U334" s="397">
        <v>245</v>
      </c>
      <c r="V334" s="397">
        <v>245</v>
      </c>
      <c r="W334" s="397">
        <v>296</v>
      </c>
      <c r="X334" s="397">
        <v>308</v>
      </c>
      <c r="Y334" s="399">
        <f>S334-('FMTC Main'!$E$22-U334)</f>
        <v>1795</v>
      </c>
      <c r="Z334" s="399">
        <f>T334-('FMTC Main'!$E$27-V334)</f>
        <v>1775</v>
      </c>
      <c r="AA334" s="400" t="str">
        <f>A334&amp;" "&amp;B334&amp;" "&amp;C334</f>
        <v>2002 Lexus SC430</v>
      </c>
    </row>
    <row r="335" spans="1:27" ht="12.95" customHeight="1">
      <c r="A335" s="394">
        <v>2009</v>
      </c>
      <c r="B335" s="394" t="s">
        <v>194</v>
      </c>
      <c r="C335" s="394" t="s">
        <v>915</v>
      </c>
      <c r="D335" s="395">
        <v>70000</v>
      </c>
      <c r="E335" s="394" t="s">
        <v>349</v>
      </c>
      <c r="F335" s="394">
        <v>590</v>
      </c>
      <c r="G335" s="396">
        <v>4.8</v>
      </c>
      <c r="H335" s="396">
        <v>6.8</v>
      </c>
      <c r="I335" s="396">
        <v>8.4</v>
      </c>
      <c r="J335" s="396">
        <v>8.6</v>
      </c>
      <c r="K335" s="396">
        <v>6.9</v>
      </c>
      <c r="L335" s="394" t="s">
        <v>1076</v>
      </c>
      <c r="M335" s="394"/>
      <c r="N335" s="389">
        <f>AVERAGE(H335,I335,K335)</f>
        <v>7.3666666666666671</v>
      </c>
      <c r="O335" s="397">
        <v>1642</v>
      </c>
      <c r="P335" s="398">
        <v>1709</v>
      </c>
      <c r="Q335" s="397">
        <v>1102</v>
      </c>
      <c r="R335" s="397">
        <v>2311</v>
      </c>
      <c r="S335" s="397">
        <v>1457</v>
      </c>
      <c r="T335" s="397">
        <v>1607</v>
      </c>
      <c r="U335" s="397">
        <v>195</v>
      </c>
      <c r="V335" s="397">
        <v>225</v>
      </c>
      <c r="W335" s="397">
        <v>288</v>
      </c>
      <c r="X335" s="397">
        <v>288</v>
      </c>
      <c r="Y335" s="399">
        <f>S335-('FMTC Main'!$E$22-U335)</f>
        <v>1652</v>
      </c>
      <c r="Z335" s="399">
        <f>T335-('FMTC Main'!$E$27-V335)</f>
        <v>1832</v>
      </c>
      <c r="AA335" s="400" t="str">
        <f>A335&amp;" "&amp;B335&amp;" "&amp;C335</f>
        <v>2009 Lotus 2-Eleven</v>
      </c>
    </row>
    <row r="336" spans="1:27" ht="12.95" customHeight="1">
      <c r="A336" s="394">
        <v>1990</v>
      </c>
      <c r="B336" s="394" t="s">
        <v>194</v>
      </c>
      <c r="C336" s="394" t="s">
        <v>314</v>
      </c>
      <c r="D336" s="395">
        <v>19000</v>
      </c>
      <c r="E336" s="394" t="s">
        <v>1088</v>
      </c>
      <c r="F336" s="394">
        <v>458</v>
      </c>
      <c r="G336" s="396">
        <v>7.1</v>
      </c>
      <c r="H336" s="396">
        <v>4.5999999999999996</v>
      </c>
      <c r="I336" s="396">
        <v>7.3</v>
      </c>
      <c r="J336" s="396">
        <v>6.7</v>
      </c>
      <c r="K336" s="396">
        <v>4.5</v>
      </c>
      <c r="L336" s="394" t="s">
        <v>1076</v>
      </c>
      <c r="M336" s="394"/>
      <c r="N336" s="389">
        <f>AVERAGE(H336,I336,K336)</f>
        <v>5.4666666666666659</v>
      </c>
      <c r="O336" s="397">
        <v>3641</v>
      </c>
      <c r="P336" s="398">
        <v>1933</v>
      </c>
      <c r="Q336" s="397">
        <v>1435</v>
      </c>
      <c r="R336" s="397">
        <v>2730</v>
      </c>
      <c r="S336" s="397">
        <v>1447</v>
      </c>
      <c r="T336" s="397">
        <v>1473</v>
      </c>
      <c r="U336" s="397">
        <v>235</v>
      </c>
      <c r="V336" s="397">
        <v>265</v>
      </c>
      <c r="W336" s="397">
        <v>330</v>
      </c>
      <c r="X336" s="397">
        <v>300</v>
      </c>
      <c r="Y336" s="399">
        <f>S336-('FMTC Main'!$E$22-U336)</f>
        <v>1682</v>
      </c>
      <c r="Z336" s="399">
        <f>T336-('FMTC Main'!$E$27-V336)</f>
        <v>1738</v>
      </c>
      <c r="AA336" s="400" t="str">
        <f>A336&amp;" "&amp;B336&amp;" "&amp;C336</f>
        <v>1990 Lotus Carlton</v>
      </c>
    </row>
    <row r="337" spans="1:27" ht="12.95" customHeight="1">
      <c r="A337" s="394">
        <v>1972</v>
      </c>
      <c r="B337" s="394" t="s">
        <v>194</v>
      </c>
      <c r="C337" s="394" t="s">
        <v>315</v>
      </c>
      <c r="D337" s="395">
        <v>30000</v>
      </c>
      <c r="E337" s="394" t="s">
        <v>1083</v>
      </c>
      <c r="F337" s="394">
        <v>206</v>
      </c>
      <c r="G337" s="396">
        <v>3.2</v>
      </c>
      <c r="H337" s="396">
        <v>4.4000000000000004</v>
      </c>
      <c r="I337" s="396">
        <v>5.3</v>
      </c>
      <c r="J337" s="396">
        <v>5.6</v>
      </c>
      <c r="K337" s="396">
        <v>4.3</v>
      </c>
      <c r="L337" s="394" t="s">
        <v>1076</v>
      </c>
      <c r="M337" s="394"/>
      <c r="N337" s="389">
        <f>AVERAGE(H337,I337,K337)</f>
        <v>4.666666666666667</v>
      </c>
      <c r="O337" s="397">
        <v>1640</v>
      </c>
      <c r="P337" s="398">
        <v>1422</v>
      </c>
      <c r="Q337" s="397">
        <v>1180</v>
      </c>
      <c r="R337" s="397">
        <v>2133</v>
      </c>
      <c r="S337" s="397">
        <v>1196</v>
      </c>
      <c r="T337" s="397">
        <v>1195</v>
      </c>
      <c r="U337" s="397">
        <v>155</v>
      </c>
      <c r="V337" s="397">
        <v>155</v>
      </c>
      <c r="W337" s="397">
        <v>241</v>
      </c>
      <c r="X337" s="397">
        <v>254</v>
      </c>
      <c r="Y337" s="399">
        <f>S337-('FMTC Main'!$E$22-U337)</f>
        <v>1351</v>
      </c>
      <c r="Z337" s="399">
        <f>T337-('FMTC Main'!$E$27-V337)</f>
        <v>1350</v>
      </c>
      <c r="AA337" s="400" t="str">
        <f>A337&amp;" "&amp;B337&amp;" "&amp;C337</f>
        <v>1972 Lotus Elan Sprint</v>
      </c>
    </row>
    <row r="338" spans="1:27" ht="12.95" customHeight="1">
      <c r="A338" s="394">
        <v>2005</v>
      </c>
      <c r="B338" s="394" t="s">
        <v>194</v>
      </c>
      <c r="C338" s="394" t="s">
        <v>195</v>
      </c>
      <c r="D338" s="395">
        <v>21000</v>
      </c>
      <c r="E338" s="394" t="s">
        <v>1088</v>
      </c>
      <c r="F338" s="394">
        <v>435</v>
      </c>
      <c r="G338" s="396">
        <v>4.0999999999999996</v>
      </c>
      <c r="H338" s="396">
        <v>5.7</v>
      </c>
      <c r="I338" s="396">
        <v>6.5</v>
      </c>
      <c r="J338" s="396">
        <v>7.3</v>
      </c>
      <c r="K338" s="396">
        <v>5.7</v>
      </c>
      <c r="L338" s="394" t="s">
        <v>1076</v>
      </c>
      <c r="M338" s="394"/>
      <c r="N338" s="389">
        <f>AVERAGE(H338,I338,K338)</f>
        <v>5.9666666666666659</v>
      </c>
      <c r="O338" s="397">
        <v>1777</v>
      </c>
      <c r="P338" s="398">
        <v>1701</v>
      </c>
      <c r="Q338" s="397">
        <v>1148</v>
      </c>
      <c r="R338" s="397">
        <v>2300</v>
      </c>
      <c r="S338" s="397">
        <v>1440</v>
      </c>
      <c r="T338" s="397">
        <v>1470</v>
      </c>
      <c r="U338" s="397">
        <v>175</v>
      </c>
      <c r="V338" s="397">
        <v>225</v>
      </c>
      <c r="W338" s="397">
        <v>288</v>
      </c>
      <c r="X338" s="397">
        <v>288</v>
      </c>
      <c r="Y338" s="399">
        <f>S338-('FMTC Main'!$E$22-U338)</f>
        <v>1615</v>
      </c>
      <c r="Z338" s="399">
        <f>T338-('FMTC Main'!$E$27-V338)</f>
        <v>1695</v>
      </c>
      <c r="AA338" s="400" t="str">
        <f>A338&amp;" "&amp;B338&amp;" "&amp;C338</f>
        <v>2005 Lotus Elise 111S</v>
      </c>
    </row>
    <row r="339" spans="1:27" ht="12.95" customHeight="1">
      <c r="A339" s="394">
        <v>1999</v>
      </c>
      <c r="B339" s="394" t="s">
        <v>194</v>
      </c>
      <c r="C339" s="394" t="s">
        <v>914</v>
      </c>
      <c r="D339" s="395">
        <v>28000</v>
      </c>
      <c r="E339" s="394" t="s">
        <v>1088</v>
      </c>
      <c r="F339" s="394">
        <v>492</v>
      </c>
      <c r="G339" s="396">
        <v>4.5999999999999996</v>
      </c>
      <c r="H339" s="396">
        <v>5.7</v>
      </c>
      <c r="I339" s="396">
        <v>7.5</v>
      </c>
      <c r="J339" s="396">
        <v>8.1</v>
      </c>
      <c r="K339" s="396">
        <v>5.8</v>
      </c>
      <c r="L339" s="394" t="s">
        <v>1076</v>
      </c>
      <c r="M339" s="394"/>
      <c r="N339" s="389">
        <f>AVERAGE(H339,I339,K339)</f>
        <v>6.333333333333333</v>
      </c>
      <c r="O339" s="397">
        <v>1543</v>
      </c>
      <c r="P339" s="398">
        <v>1720</v>
      </c>
      <c r="Q339" s="397">
        <v>1143</v>
      </c>
      <c r="R339" s="397">
        <v>2311</v>
      </c>
      <c r="S339" s="397">
        <v>1458</v>
      </c>
      <c r="T339" s="397">
        <v>1504</v>
      </c>
      <c r="U339" s="397">
        <v>185</v>
      </c>
      <c r="V339" s="397">
        <v>205</v>
      </c>
      <c r="W339" s="397">
        <v>282</v>
      </c>
      <c r="X339" s="397">
        <v>282</v>
      </c>
      <c r="Y339" s="399">
        <f>S339-('FMTC Main'!$E$22-U339)</f>
        <v>1643</v>
      </c>
      <c r="Z339" s="399">
        <f>T339-('FMTC Main'!$E$27-V339)</f>
        <v>1709</v>
      </c>
      <c r="AA339" s="400" t="str">
        <f>A339&amp;" "&amp;B339&amp;" "&amp;C339</f>
        <v>1999 Lotus Elise Sport</v>
      </c>
    </row>
    <row r="340" spans="1:27" ht="12.95" customHeight="1">
      <c r="A340" s="394">
        <v>1980</v>
      </c>
      <c r="B340" s="394" t="s">
        <v>194</v>
      </c>
      <c r="C340" s="394" t="s">
        <v>913</v>
      </c>
      <c r="D340" s="395">
        <v>46000</v>
      </c>
      <c r="E340" s="394" t="s">
        <v>1085</v>
      </c>
      <c r="F340" s="394">
        <v>304</v>
      </c>
      <c r="G340" s="396">
        <v>4.7</v>
      </c>
      <c r="H340" s="396">
        <v>4.7</v>
      </c>
      <c r="I340" s="396">
        <v>5.6</v>
      </c>
      <c r="J340" s="396">
        <v>5.8</v>
      </c>
      <c r="K340" s="396">
        <v>4.5</v>
      </c>
      <c r="L340" s="394" t="s">
        <v>1076</v>
      </c>
      <c r="M340" s="394"/>
      <c r="N340" s="389">
        <f>AVERAGE(H340,I340,K340)</f>
        <v>4.9333333333333336</v>
      </c>
      <c r="O340" s="397">
        <v>2710</v>
      </c>
      <c r="P340" s="398">
        <v>1860</v>
      </c>
      <c r="Q340" s="397">
        <v>1150</v>
      </c>
      <c r="R340" s="397">
        <v>2438</v>
      </c>
      <c r="S340" s="397">
        <v>1511</v>
      </c>
      <c r="T340" s="397">
        <v>1511</v>
      </c>
      <c r="U340" s="397">
        <v>195</v>
      </c>
      <c r="V340" s="397">
        <v>235</v>
      </c>
      <c r="W340" s="397">
        <v>267</v>
      </c>
      <c r="X340" s="397">
        <v>248</v>
      </c>
      <c r="Y340" s="399">
        <f>S340-('FMTC Main'!$E$22-U340)</f>
        <v>1706</v>
      </c>
      <c r="Z340" s="399">
        <f>T340-('FMTC Main'!$E$27-V340)</f>
        <v>1746</v>
      </c>
      <c r="AA340" s="400" t="str">
        <f>A340&amp;" "&amp;B340&amp;" "&amp;C340</f>
        <v>1980 Lotus Esprit Turbo</v>
      </c>
    </row>
    <row r="341" spans="1:27" ht="12.95" customHeight="1">
      <c r="A341" s="394">
        <v>2002</v>
      </c>
      <c r="B341" s="394" t="s">
        <v>194</v>
      </c>
      <c r="C341" s="394" t="s">
        <v>316</v>
      </c>
      <c r="D341" s="395">
        <v>44000</v>
      </c>
      <c r="E341" s="394" t="s">
        <v>349</v>
      </c>
      <c r="F341" s="394">
        <v>511</v>
      </c>
      <c r="G341" s="396">
        <v>6.9</v>
      </c>
      <c r="H341" s="396">
        <v>5.3</v>
      </c>
      <c r="I341" s="396">
        <v>7.4</v>
      </c>
      <c r="J341" s="396">
        <v>7.9</v>
      </c>
      <c r="K341" s="396">
        <v>5.0999999999999996</v>
      </c>
      <c r="L341" s="394" t="s">
        <v>1076</v>
      </c>
      <c r="M341" s="394"/>
      <c r="N341" s="389">
        <f>AVERAGE(H341,I341,K341)</f>
        <v>5.9333333333333327</v>
      </c>
      <c r="O341" s="397">
        <v>2851</v>
      </c>
      <c r="P341" s="398">
        <v>1867</v>
      </c>
      <c r="Q341" s="397">
        <v>1150</v>
      </c>
      <c r="R341" s="397">
        <v>2438</v>
      </c>
      <c r="S341" s="397">
        <v>1524</v>
      </c>
      <c r="T341" s="397">
        <v>1537</v>
      </c>
      <c r="U341" s="397">
        <v>235</v>
      </c>
      <c r="V341" s="397">
        <v>285</v>
      </c>
      <c r="W341" s="397">
        <v>320</v>
      </c>
      <c r="X341" s="397">
        <v>320</v>
      </c>
      <c r="Y341" s="399">
        <f>S341-('FMTC Main'!$E$22-U341)</f>
        <v>1759</v>
      </c>
      <c r="Z341" s="399">
        <f>T341-('FMTC Main'!$E$27-V341)</f>
        <v>1822</v>
      </c>
      <c r="AA341" s="400" t="str">
        <f>A341&amp;" "&amp;B341&amp;" "&amp;C341</f>
        <v>2002 Lotus Esprit V8</v>
      </c>
    </row>
    <row r="342" spans="1:27" ht="12.95" customHeight="1">
      <c r="A342" s="394">
        <v>2009</v>
      </c>
      <c r="B342" s="394" t="s">
        <v>194</v>
      </c>
      <c r="C342" s="394" t="s">
        <v>196</v>
      </c>
      <c r="D342" s="395">
        <v>90000</v>
      </c>
      <c r="E342" s="394" t="s">
        <v>1088</v>
      </c>
      <c r="F342" s="394">
        <v>493</v>
      </c>
      <c r="G342" s="396">
        <v>6.3</v>
      </c>
      <c r="H342" s="396">
        <v>5.4</v>
      </c>
      <c r="I342" s="396">
        <v>6.9</v>
      </c>
      <c r="J342" s="396">
        <v>7.9</v>
      </c>
      <c r="K342" s="396">
        <v>5.3</v>
      </c>
      <c r="L342" s="394" t="s">
        <v>1076</v>
      </c>
      <c r="M342" s="394"/>
      <c r="N342" s="389">
        <f>AVERAGE(H342,I342,K342)</f>
        <v>5.8666666666666671</v>
      </c>
      <c r="O342" s="397">
        <v>2976</v>
      </c>
      <c r="P342" s="398">
        <v>1848</v>
      </c>
      <c r="Q342" s="397">
        <v>1219</v>
      </c>
      <c r="R342" s="397">
        <v>2575</v>
      </c>
      <c r="S342" s="397">
        <v>1565</v>
      </c>
      <c r="T342" s="397">
        <v>1574</v>
      </c>
      <c r="U342" s="397">
        <v>225</v>
      </c>
      <c r="V342" s="397">
        <v>255</v>
      </c>
      <c r="W342" s="397">
        <v>350</v>
      </c>
      <c r="X342" s="397">
        <v>335</v>
      </c>
      <c r="Y342" s="399">
        <f>S342-('FMTC Main'!$E$22-U342)</f>
        <v>1790</v>
      </c>
      <c r="Z342" s="399">
        <f>T342-('FMTC Main'!$E$27-V342)</f>
        <v>1829</v>
      </c>
      <c r="AA342" s="400" t="str">
        <f>A342&amp;" "&amp;B342&amp;" "&amp;C342</f>
        <v>2009 Lotus Evora</v>
      </c>
    </row>
    <row r="343" spans="1:27" ht="12.95" customHeight="1">
      <c r="A343" s="394">
        <v>2009</v>
      </c>
      <c r="B343" s="394" t="s">
        <v>194</v>
      </c>
      <c r="C343" s="394" t="s">
        <v>916</v>
      </c>
      <c r="D343" s="395">
        <v>350000</v>
      </c>
      <c r="E343" s="394" t="s">
        <v>1092</v>
      </c>
      <c r="F343" s="394">
        <v>694</v>
      </c>
      <c r="G343" s="396">
        <v>7.3</v>
      </c>
      <c r="H343" s="396">
        <v>7.4</v>
      </c>
      <c r="I343" s="396">
        <v>8.1999999999999993</v>
      </c>
      <c r="J343" s="396">
        <v>7.7</v>
      </c>
      <c r="K343" s="396">
        <v>7.3</v>
      </c>
      <c r="L343" s="394" t="s">
        <v>1076</v>
      </c>
      <c r="M343" s="394"/>
      <c r="N343" s="389">
        <f>AVERAGE(H343,I343,K343)</f>
        <v>7.6333333333333329</v>
      </c>
      <c r="O343" s="397">
        <v>2756</v>
      </c>
      <c r="P343" s="398">
        <v>1849</v>
      </c>
      <c r="Q343" s="397">
        <v>1221</v>
      </c>
      <c r="R343" s="397">
        <v>2575</v>
      </c>
      <c r="S343" s="397">
        <v>1567</v>
      </c>
      <c r="T343" s="397">
        <v>1574</v>
      </c>
      <c r="U343" s="397">
        <v>245</v>
      </c>
      <c r="V343" s="397">
        <v>305</v>
      </c>
      <c r="W343" s="397">
        <v>350</v>
      </c>
      <c r="X343" s="397">
        <v>335</v>
      </c>
      <c r="Y343" s="399">
        <f>S343-('FMTC Main'!$E$22-U343)</f>
        <v>1812</v>
      </c>
      <c r="Z343" s="399">
        <f>T343-('FMTC Main'!$E$27-V343)</f>
        <v>1879</v>
      </c>
      <c r="AA343" s="400" t="str">
        <f>A343&amp;" "&amp;B343&amp;" "&amp;C343</f>
        <v>2009 Lotus Evora Type 124 Endurance Racecar</v>
      </c>
    </row>
    <row r="344" spans="1:27" ht="12.95" customHeight="1">
      <c r="A344" s="394">
        <v>2006</v>
      </c>
      <c r="B344" s="394" t="s">
        <v>194</v>
      </c>
      <c r="C344" s="394" t="s">
        <v>197</v>
      </c>
      <c r="D344" s="395">
        <v>32000</v>
      </c>
      <c r="E344" s="394" t="s">
        <v>349</v>
      </c>
      <c r="F344" s="394">
        <v>510</v>
      </c>
      <c r="G344" s="396">
        <v>5.0999999999999996</v>
      </c>
      <c r="H344" s="396">
        <v>6</v>
      </c>
      <c r="I344" s="396">
        <v>7.4</v>
      </c>
      <c r="J344" s="396">
        <v>8.1999999999999993</v>
      </c>
      <c r="K344" s="396">
        <v>5.9</v>
      </c>
      <c r="L344" s="394" t="s">
        <v>1076</v>
      </c>
      <c r="M344" s="394"/>
      <c r="N344" s="389">
        <f>AVERAGE(H344,I344,K344)</f>
        <v>6.4333333333333336</v>
      </c>
      <c r="O344" s="397">
        <v>2050</v>
      </c>
      <c r="P344" s="398">
        <v>1727</v>
      </c>
      <c r="Q344" s="397">
        <v>1507</v>
      </c>
      <c r="R344" s="397">
        <v>2300</v>
      </c>
      <c r="S344" s="397">
        <v>1457</v>
      </c>
      <c r="T344" s="397">
        <v>1507</v>
      </c>
      <c r="U344" s="397">
        <v>195</v>
      </c>
      <c r="V344" s="397">
        <v>225</v>
      </c>
      <c r="W344" s="397">
        <v>308</v>
      </c>
      <c r="X344" s="397">
        <v>308</v>
      </c>
      <c r="Y344" s="399">
        <f>S344-('FMTC Main'!$E$22-U344)</f>
        <v>1652</v>
      </c>
      <c r="Z344" s="399">
        <f>T344-('FMTC Main'!$E$27-V344)</f>
        <v>1732</v>
      </c>
      <c r="AA344" s="400" t="str">
        <f>A344&amp;" "&amp;B344&amp;" "&amp;C344</f>
        <v>2006 Lotus Exige Cup 240</v>
      </c>
    </row>
    <row r="345" spans="1:27" ht="12.95" customHeight="1">
      <c r="A345" s="394">
        <v>2005</v>
      </c>
      <c r="B345" s="394" t="s">
        <v>200</v>
      </c>
      <c r="C345" s="394" t="s">
        <v>201</v>
      </c>
      <c r="D345" s="395">
        <v>1100000</v>
      </c>
      <c r="E345" s="394" t="s">
        <v>1091</v>
      </c>
      <c r="F345" s="394">
        <v>824</v>
      </c>
      <c r="G345" s="396">
        <v>7.2</v>
      </c>
      <c r="H345" s="396">
        <v>8.3000000000000007</v>
      </c>
      <c r="I345" s="396">
        <v>9.4</v>
      </c>
      <c r="J345" s="396">
        <v>8.6999999999999993</v>
      </c>
      <c r="K345" s="396">
        <v>8.4</v>
      </c>
      <c r="L345" s="394" t="s">
        <v>1084</v>
      </c>
      <c r="M345" s="394"/>
      <c r="N345" s="389">
        <f>AVERAGE(H345,I345,K345)</f>
        <v>8.7000000000000011</v>
      </c>
      <c r="O345" s="397">
        <v>2425</v>
      </c>
      <c r="P345" s="398">
        <v>2100</v>
      </c>
      <c r="Q345" s="397">
        <v>1205</v>
      </c>
      <c r="R345" s="397">
        <v>2800</v>
      </c>
      <c r="S345" s="397">
        <v>1660</v>
      </c>
      <c r="T345" s="397">
        <v>1650</v>
      </c>
      <c r="U345" s="397">
        <v>325</v>
      </c>
      <c r="V345" s="397">
        <v>325</v>
      </c>
      <c r="W345" s="397">
        <v>380</v>
      </c>
      <c r="X345" s="397">
        <v>335</v>
      </c>
      <c r="Y345" s="399">
        <f>S345-('FMTC Main'!$E$22-U345)</f>
        <v>1985</v>
      </c>
      <c r="Z345" s="399">
        <f>T345-('FMTC Main'!$E$27-V345)</f>
        <v>1975</v>
      </c>
      <c r="AA345" s="400" t="str">
        <f>A345&amp;" "&amp;B345&amp;" "&amp;C345</f>
        <v>2005 Maserati #15 JMB Racing MC12</v>
      </c>
    </row>
    <row r="346" spans="1:27" ht="12.95" customHeight="1">
      <c r="A346" s="402">
        <v>1957</v>
      </c>
      <c r="B346" s="402" t="s">
        <v>200</v>
      </c>
      <c r="C346" s="402" t="s">
        <v>1153</v>
      </c>
      <c r="D346" s="403">
        <v>1000000</v>
      </c>
      <c r="E346" s="402" t="s">
        <v>1087</v>
      </c>
      <c r="F346" s="402">
        <v>420</v>
      </c>
      <c r="G346" s="404">
        <v>6.6</v>
      </c>
      <c r="H346" s="404">
        <v>3.8</v>
      </c>
      <c r="I346" s="404">
        <v>6.9</v>
      </c>
      <c r="J346" s="404">
        <v>4.5</v>
      </c>
      <c r="K346" s="404">
        <v>3.6</v>
      </c>
      <c r="L346" s="402" t="s">
        <v>1084</v>
      </c>
      <c r="M346" s="402" t="s">
        <v>1141</v>
      </c>
      <c r="N346" s="389">
        <f>AVERAGE(H346,I346,K346)</f>
        <v>4.7666666666666666</v>
      </c>
      <c r="O346" s="405">
        <v>1720</v>
      </c>
      <c r="P346" s="405">
        <v>1600</v>
      </c>
      <c r="Q346" s="405">
        <v>950</v>
      </c>
      <c r="R346" s="405">
        <v>2310</v>
      </c>
      <c r="S346" s="405">
        <v>1300</v>
      </c>
      <c r="T346" s="405">
        <v>1250</v>
      </c>
      <c r="U346" s="405">
        <v>152</v>
      </c>
      <c r="V346" s="405">
        <v>165</v>
      </c>
      <c r="W346" s="405">
        <v>400</v>
      </c>
      <c r="X346" s="405">
        <v>300</v>
      </c>
      <c r="Y346" s="406">
        <f>S346-('FMTC Main'!$E$22-U346)</f>
        <v>1452</v>
      </c>
      <c r="Z346" s="406">
        <f>T346-('FMTC Main'!$E$27-V346)</f>
        <v>1415</v>
      </c>
      <c r="AA346" s="407" t="str">
        <f>A346&amp;" "&amp;B346&amp;" "&amp;C346</f>
        <v>1957 Maserati 300 S</v>
      </c>
    </row>
    <row r="347" spans="1:27" ht="12.95" customHeight="1">
      <c r="A347" s="394">
        <v>2006</v>
      </c>
      <c r="B347" s="394" t="s">
        <v>200</v>
      </c>
      <c r="C347" s="394" t="s">
        <v>317</v>
      </c>
      <c r="D347" s="395">
        <v>50000</v>
      </c>
      <c r="E347" s="394" t="s">
        <v>1088</v>
      </c>
      <c r="F347" s="394">
        <v>477</v>
      </c>
      <c r="G347" s="396">
        <v>7</v>
      </c>
      <c r="H347" s="396">
        <v>5</v>
      </c>
      <c r="I347" s="396">
        <v>6.9</v>
      </c>
      <c r="J347" s="396">
        <v>7.2</v>
      </c>
      <c r="K347" s="396">
        <v>4.9000000000000004</v>
      </c>
      <c r="L347" s="394" t="s">
        <v>1084</v>
      </c>
      <c r="M347" s="394"/>
      <c r="N347" s="389">
        <f>AVERAGE(H347,I347,K347)</f>
        <v>5.6000000000000005</v>
      </c>
      <c r="O347" s="397">
        <v>3692</v>
      </c>
      <c r="P347" s="398">
        <v>1806</v>
      </c>
      <c r="Q347" s="397">
        <v>1293</v>
      </c>
      <c r="R347" s="397">
        <v>2659</v>
      </c>
      <c r="S347" s="397">
        <v>1524</v>
      </c>
      <c r="T347" s="397">
        <v>1527</v>
      </c>
      <c r="U347" s="397">
        <v>235</v>
      </c>
      <c r="V347" s="397">
        <v>265</v>
      </c>
      <c r="W347" s="397">
        <v>330</v>
      </c>
      <c r="X347" s="397">
        <v>310</v>
      </c>
      <c r="Y347" s="399">
        <f>S347-('FMTC Main'!$E$22-U347)</f>
        <v>1759</v>
      </c>
      <c r="Z347" s="399">
        <f>T347-('FMTC Main'!$E$27-V347)</f>
        <v>1792</v>
      </c>
      <c r="AA347" s="400" t="str">
        <f>A347&amp;" "&amp;B347&amp;" "&amp;C347</f>
        <v>2006 Maserati GranSport</v>
      </c>
    </row>
    <row r="348" spans="1:27" ht="12.95" customHeight="1">
      <c r="A348" s="402">
        <v>2010</v>
      </c>
      <c r="B348" s="402" t="s">
        <v>200</v>
      </c>
      <c r="C348" s="402" t="s">
        <v>1152</v>
      </c>
      <c r="D348" s="403">
        <v>220000</v>
      </c>
      <c r="E348" s="402" t="s">
        <v>1092</v>
      </c>
      <c r="F348" s="402">
        <v>674</v>
      </c>
      <c r="G348" s="404">
        <v>7.6</v>
      </c>
      <c r="H348" s="404">
        <v>6.9</v>
      </c>
      <c r="I348" s="404">
        <v>8.1999999999999993</v>
      </c>
      <c r="J348" s="404">
        <v>7.9</v>
      </c>
      <c r="K348" s="404">
        <v>6.8</v>
      </c>
      <c r="L348" s="402" t="s">
        <v>1084</v>
      </c>
      <c r="M348" s="402" t="s">
        <v>1141</v>
      </c>
      <c r="N348" s="389">
        <f>AVERAGE(H348,I348,K348)</f>
        <v>7.3</v>
      </c>
      <c r="O348" s="405">
        <v>3086</v>
      </c>
      <c r="P348" s="405">
        <v>1914</v>
      </c>
      <c r="Q348" s="405">
        <v>1300</v>
      </c>
      <c r="R348" s="405">
        <v>2941</v>
      </c>
      <c r="S348" s="405">
        <v>1618</v>
      </c>
      <c r="T348" s="405">
        <v>1581</v>
      </c>
      <c r="U348" s="405">
        <v>305</v>
      </c>
      <c r="V348" s="405">
        <v>305</v>
      </c>
      <c r="W348" s="405">
        <v>380</v>
      </c>
      <c r="X348" s="405">
        <v>326</v>
      </c>
      <c r="Y348" s="406">
        <f>S348-('FMTC Main'!$E$22-U348)</f>
        <v>1923</v>
      </c>
      <c r="Z348" s="406">
        <f>T348-('FMTC Main'!$E$27-V348)</f>
        <v>1886</v>
      </c>
      <c r="AA348" s="407" t="str">
        <f>A348&amp;" "&amp;B348&amp;" "&amp;C348</f>
        <v>2010 Maserati GranTurismo MC GT4</v>
      </c>
    </row>
    <row r="349" spans="1:27" ht="12.95" customHeight="1">
      <c r="A349" s="394">
        <v>2010</v>
      </c>
      <c r="B349" s="394" t="s">
        <v>200</v>
      </c>
      <c r="C349" s="394" t="s">
        <v>917</v>
      </c>
      <c r="D349" s="395">
        <v>120000</v>
      </c>
      <c r="E349" s="394" t="s">
        <v>1088</v>
      </c>
      <c r="F349" s="394">
        <v>481</v>
      </c>
      <c r="G349" s="396">
        <v>7.7</v>
      </c>
      <c r="H349" s="396">
        <v>4.9000000000000004</v>
      </c>
      <c r="I349" s="396">
        <v>6.8</v>
      </c>
      <c r="J349" s="396">
        <v>7.3</v>
      </c>
      <c r="K349" s="396">
        <v>4.8</v>
      </c>
      <c r="L349" s="394" t="s">
        <v>1084</v>
      </c>
      <c r="M349" s="394"/>
      <c r="N349" s="389">
        <f>AVERAGE(H349,I349,K349)</f>
        <v>5.5</v>
      </c>
      <c r="O349" s="397">
        <v>4146</v>
      </c>
      <c r="P349" s="398">
        <v>1915</v>
      </c>
      <c r="Q349" s="397">
        <v>1353</v>
      </c>
      <c r="R349" s="397">
        <v>2942</v>
      </c>
      <c r="S349" s="397">
        <v>1585</v>
      </c>
      <c r="T349" s="397">
        <v>1590</v>
      </c>
      <c r="U349" s="397">
        <v>245</v>
      </c>
      <c r="V349" s="397">
        <v>285</v>
      </c>
      <c r="W349" s="397">
        <v>361</v>
      </c>
      <c r="X349" s="397">
        <v>330</v>
      </c>
      <c r="Y349" s="397">
        <f>S349-('FMTC Main'!$E$22-U349)</f>
        <v>1830</v>
      </c>
      <c r="Z349" s="399">
        <f>T349-('FMTC Main'!$E$27-V349)</f>
        <v>1875</v>
      </c>
      <c r="AA349" s="400" t="str">
        <f>A349&amp;" "&amp;B349&amp;" "&amp;C349</f>
        <v>2010 Maserati GranTurismo S</v>
      </c>
    </row>
    <row r="350" spans="1:27" ht="12.95" customHeight="1">
      <c r="A350" s="394">
        <v>2004</v>
      </c>
      <c r="B350" s="394" t="s">
        <v>200</v>
      </c>
      <c r="C350" s="394" t="s">
        <v>202</v>
      </c>
      <c r="D350" s="395">
        <v>1000000</v>
      </c>
      <c r="E350" s="394" t="s">
        <v>1092</v>
      </c>
      <c r="F350" s="394">
        <v>682</v>
      </c>
      <c r="G350" s="396">
        <v>8.6</v>
      </c>
      <c r="H350" s="396">
        <v>6.8</v>
      </c>
      <c r="I350" s="396">
        <v>8.6999999999999993</v>
      </c>
      <c r="J350" s="396">
        <v>8.5</v>
      </c>
      <c r="K350" s="396">
        <v>6.8</v>
      </c>
      <c r="L350" s="394" t="s">
        <v>1084</v>
      </c>
      <c r="M350" s="394"/>
      <c r="N350" s="389">
        <f>AVERAGE(H350,I350,K350)</f>
        <v>7.4333333333333336</v>
      </c>
      <c r="O350" s="397">
        <v>3142</v>
      </c>
      <c r="P350" s="398">
        <v>2100</v>
      </c>
      <c r="Q350" s="397">
        <v>1205</v>
      </c>
      <c r="R350" s="397">
        <v>2800</v>
      </c>
      <c r="S350" s="397">
        <v>1660</v>
      </c>
      <c r="T350" s="397">
        <v>1650</v>
      </c>
      <c r="U350" s="397">
        <v>245</v>
      </c>
      <c r="V350" s="397">
        <v>345</v>
      </c>
      <c r="W350" s="397">
        <v>380</v>
      </c>
      <c r="X350" s="397">
        <v>335</v>
      </c>
      <c r="Y350" s="397">
        <f>S350-('FMTC Main'!$E$22-U350)</f>
        <v>1905</v>
      </c>
      <c r="Z350" s="399">
        <f>T350-('FMTC Main'!$E$27-V350)</f>
        <v>1995</v>
      </c>
      <c r="AA350" s="400" t="str">
        <f>A350&amp;" "&amp;B350&amp;" "&amp;C350</f>
        <v>2004 Maserati MC12</v>
      </c>
    </row>
    <row r="351" spans="1:27" ht="12.95" customHeight="1">
      <c r="A351" s="394">
        <v>2011</v>
      </c>
      <c r="B351" s="394" t="s">
        <v>203</v>
      </c>
      <c r="C351" s="394">
        <v>2</v>
      </c>
      <c r="D351" s="410">
        <v>14000</v>
      </c>
      <c r="E351" s="394" t="s">
        <v>1083</v>
      </c>
      <c r="F351" s="394">
        <v>202</v>
      </c>
      <c r="G351" s="396">
        <v>3</v>
      </c>
      <c r="H351" s="396">
        <v>4.8</v>
      </c>
      <c r="I351" s="396">
        <v>4.5</v>
      </c>
      <c r="J351" s="396">
        <v>4.8</v>
      </c>
      <c r="K351" s="396">
        <v>4.7</v>
      </c>
      <c r="L351" s="394" t="s">
        <v>1103</v>
      </c>
      <c r="M351" s="394"/>
      <c r="N351" s="389">
        <f>AVERAGE(H351,I351,K351)</f>
        <v>4.666666666666667</v>
      </c>
      <c r="O351" s="397">
        <v>2116</v>
      </c>
      <c r="P351" s="398">
        <v>1694</v>
      </c>
      <c r="Q351" s="397">
        <v>1476</v>
      </c>
      <c r="R351" s="397">
        <v>2489</v>
      </c>
      <c r="S351" s="397">
        <v>1476</v>
      </c>
      <c r="T351" s="397">
        <v>1466</v>
      </c>
      <c r="U351" s="397">
        <v>185</v>
      </c>
      <c r="V351" s="397">
        <v>185</v>
      </c>
      <c r="W351" s="397">
        <v>258</v>
      </c>
      <c r="X351" s="397">
        <v>200</v>
      </c>
      <c r="Y351" s="397">
        <f>S351-('FMTC Main'!$E$22-U351)</f>
        <v>1661</v>
      </c>
      <c r="Z351" s="399">
        <f>T351-('FMTC Main'!$E$27-V351)</f>
        <v>1651</v>
      </c>
      <c r="AA351" s="400" t="str">
        <f>A351&amp;" "&amp;B351&amp;" "&amp;C351</f>
        <v>2011 Mazda 2</v>
      </c>
    </row>
    <row r="352" spans="1:27" ht="12.95" customHeight="1">
      <c r="A352" s="394">
        <v>2009</v>
      </c>
      <c r="B352" s="394" t="s">
        <v>203</v>
      </c>
      <c r="C352" s="394" t="s">
        <v>204</v>
      </c>
      <c r="D352" s="410">
        <v>2000000</v>
      </c>
      <c r="E352" s="394" t="s">
        <v>1086</v>
      </c>
      <c r="F352" s="394">
        <v>958</v>
      </c>
      <c r="G352" s="396">
        <v>8.1</v>
      </c>
      <c r="H352" s="396">
        <v>9.8000000000000007</v>
      </c>
      <c r="I352" s="396">
        <v>9.6999999999999993</v>
      </c>
      <c r="J352" s="396">
        <v>8.3000000000000007</v>
      </c>
      <c r="K352" s="396">
        <v>9.6999999999999993</v>
      </c>
      <c r="L352" s="394" t="s">
        <v>1103</v>
      </c>
      <c r="M352" s="394"/>
      <c r="N352" s="389">
        <f>AVERAGE(H352,I352,K352)</f>
        <v>9.7333333333333325</v>
      </c>
      <c r="O352" s="397">
        <v>1819</v>
      </c>
      <c r="P352" s="398">
        <v>1990</v>
      </c>
      <c r="Q352" s="397">
        <v>1100</v>
      </c>
      <c r="R352" s="397">
        <v>2790</v>
      </c>
      <c r="S352" s="397">
        <v>1709</v>
      </c>
      <c r="T352" s="397">
        <v>1669</v>
      </c>
      <c r="U352" s="397">
        <v>285</v>
      </c>
      <c r="V352" s="397">
        <v>325</v>
      </c>
      <c r="W352" s="397">
        <v>380</v>
      </c>
      <c r="X352" s="397">
        <v>380</v>
      </c>
      <c r="Y352" s="397">
        <f>S352-('FMTC Main'!$E$22-U352)</f>
        <v>1994</v>
      </c>
      <c r="Z352" s="399">
        <f>T352-('FMTC Main'!$E$27-V352)</f>
        <v>1994</v>
      </c>
      <c r="AA352" s="400" t="str">
        <f>A352&amp;" "&amp;B352&amp;" "&amp;C352</f>
        <v>2009 Mazda #16 Dyson Racing B09/86</v>
      </c>
    </row>
    <row r="353" spans="1:27" ht="12.95" customHeight="1">
      <c r="A353" s="394">
        <v>2010</v>
      </c>
      <c r="B353" s="394" t="s">
        <v>203</v>
      </c>
      <c r="C353" s="394" t="s">
        <v>204</v>
      </c>
      <c r="D353" s="410">
        <v>2000000</v>
      </c>
      <c r="E353" s="394" t="s">
        <v>1086</v>
      </c>
      <c r="F353" s="394">
        <v>958</v>
      </c>
      <c r="G353" s="396">
        <v>8.1</v>
      </c>
      <c r="H353" s="396">
        <v>9.8000000000000007</v>
      </c>
      <c r="I353" s="396">
        <v>9.6999999999999993</v>
      </c>
      <c r="J353" s="396">
        <v>8.1999999999999993</v>
      </c>
      <c r="K353" s="396">
        <v>9.6999999999999993</v>
      </c>
      <c r="L353" s="394" t="s">
        <v>1103</v>
      </c>
      <c r="M353" s="394"/>
      <c r="N353" s="389">
        <f>AVERAGE(H353,I353,K353)</f>
        <v>9.7333333333333325</v>
      </c>
      <c r="O353" s="397">
        <v>1819</v>
      </c>
      <c r="P353" s="398">
        <v>1990</v>
      </c>
      <c r="Q353" s="397">
        <v>1100</v>
      </c>
      <c r="R353" s="397">
        <v>2790</v>
      </c>
      <c r="S353" s="397">
        <v>1709</v>
      </c>
      <c r="T353" s="397">
        <v>1669</v>
      </c>
      <c r="U353" s="397">
        <v>285</v>
      </c>
      <c r="V353" s="397">
        <v>325</v>
      </c>
      <c r="W353" s="397">
        <v>380</v>
      </c>
      <c r="X353" s="397">
        <v>380</v>
      </c>
      <c r="Y353" s="397">
        <f>S353-('FMTC Main'!$E$22-U353)</f>
        <v>1994</v>
      </c>
      <c r="Z353" s="399">
        <f>T353-('FMTC Main'!$E$27-V353)</f>
        <v>1994</v>
      </c>
      <c r="AA353" s="400" t="str">
        <f>A353&amp;" "&amp;B353&amp;" "&amp;C353</f>
        <v>2010 Mazda #16 Dyson Racing B09/86</v>
      </c>
    </row>
    <row r="354" spans="1:27" ht="12.95" customHeight="1">
      <c r="A354" s="394">
        <v>2005</v>
      </c>
      <c r="B354" s="394" t="s">
        <v>203</v>
      </c>
      <c r="C354" s="394" t="s">
        <v>291</v>
      </c>
      <c r="D354" s="395">
        <v>12000</v>
      </c>
      <c r="E354" s="394" t="s">
        <v>1083</v>
      </c>
      <c r="F354" s="394">
        <v>240</v>
      </c>
      <c r="G354" s="396">
        <v>3.7</v>
      </c>
      <c r="H354" s="396">
        <v>4.3</v>
      </c>
      <c r="I354" s="396">
        <v>4.5999999999999996</v>
      </c>
      <c r="J354" s="396">
        <v>5.0999999999999996</v>
      </c>
      <c r="K354" s="396">
        <v>4.2</v>
      </c>
      <c r="L354" s="394" t="s">
        <v>1103</v>
      </c>
      <c r="M354" s="394"/>
      <c r="N354" s="389">
        <f>AVERAGE(H354,I354,K354)</f>
        <v>4.3666666666666663</v>
      </c>
      <c r="O354" s="397">
        <v>2957</v>
      </c>
      <c r="P354" s="398">
        <v>1755</v>
      </c>
      <c r="Q354" s="397">
        <v>1466</v>
      </c>
      <c r="R354" s="397">
        <v>2639</v>
      </c>
      <c r="S354" s="397">
        <v>1529</v>
      </c>
      <c r="T354" s="397">
        <v>1514</v>
      </c>
      <c r="U354" s="397">
        <v>205</v>
      </c>
      <c r="V354" s="397">
        <v>205</v>
      </c>
      <c r="W354" s="397">
        <v>278</v>
      </c>
      <c r="X354" s="397">
        <v>280</v>
      </c>
      <c r="Y354" s="397">
        <f>S354-('FMTC Main'!$E$22-U354)</f>
        <v>1734</v>
      </c>
      <c r="Z354" s="399">
        <f>T354-('FMTC Main'!$E$27-V354)</f>
        <v>1719</v>
      </c>
      <c r="AA354" s="400" t="str">
        <f>A354&amp;" "&amp;B354&amp;" "&amp;C354</f>
        <v>2005 Mazda Axela Sport 23S</v>
      </c>
    </row>
    <row r="355" spans="1:27" ht="12.95" customHeight="1">
      <c r="A355" s="394">
        <v>2008</v>
      </c>
      <c r="B355" s="394" t="s">
        <v>203</v>
      </c>
      <c r="C355" s="394" t="s">
        <v>639</v>
      </c>
      <c r="D355" s="395">
        <v>1000000</v>
      </c>
      <c r="E355" s="394" t="s">
        <v>1091</v>
      </c>
      <c r="F355" s="394">
        <v>865</v>
      </c>
      <c r="G355" s="396">
        <v>6.4</v>
      </c>
      <c r="H355" s="396">
        <v>9.1999999999999993</v>
      </c>
      <c r="I355" s="396">
        <v>9.3000000000000007</v>
      </c>
      <c r="J355" s="396">
        <v>8.4</v>
      </c>
      <c r="K355" s="396">
        <v>9.1</v>
      </c>
      <c r="L355" s="394" t="s">
        <v>1103</v>
      </c>
      <c r="M355" s="394"/>
      <c r="N355" s="389">
        <f>AVERAGE(H355,I355,K355)</f>
        <v>9.2000000000000011</v>
      </c>
      <c r="O355" s="397">
        <v>1940</v>
      </c>
      <c r="P355" s="398">
        <v>2000</v>
      </c>
      <c r="Q355" s="397">
        <v>1000</v>
      </c>
      <c r="R355" s="397">
        <v>2790</v>
      </c>
      <c r="S355" s="397">
        <v>1750</v>
      </c>
      <c r="T355" s="397">
        <v>1600</v>
      </c>
      <c r="U355" s="397">
        <v>270</v>
      </c>
      <c r="V355" s="397">
        <v>310</v>
      </c>
      <c r="W355" s="397">
        <v>355</v>
      </c>
      <c r="X355" s="397">
        <v>355</v>
      </c>
      <c r="Y355" s="397">
        <f>S355-('FMTC Main'!$E$22-U355)</f>
        <v>2020</v>
      </c>
      <c r="Z355" s="399">
        <f>T355-('FMTC Main'!$E$27-V355)</f>
        <v>1910</v>
      </c>
      <c r="AA355" s="400" t="str">
        <f>A355&amp;" "&amp;B355&amp;" "&amp;C355</f>
        <v>2008 Mazda Furai</v>
      </c>
    </row>
    <row r="356" spans="1:27" ht="12.95" customHeight="1">
      <c r="A356" s="394">
        <v>2009</v>
      </c>
      <c r="B356" s="394" t="s">
        <v>203</v>
      </c>
      <c r="C356" s="394" t="s">
        <v>205</v>
      </c>
      <c r="D356" s="395">
        <v>17000</v>
      </c>
      <c r="E356" s="394" t="s">
        <v>1087</v>
      </c>
      <c r="F356" s="394">
        <v>415</v>
      </c>
      <c r="G356" s="396">
        <v>5.2</v>
      </c>
      <c r="H356" s="396">
        <v>4.8</v>
      </c>
      <c r="I356" s="396">
        <v>6.4</v>
      </c>
      <c r="J356" s="396">
        <v>6.3</v>
      </c>
      <c r="K356" s="396">
        <v>4.7</v>
      </c>
      <c r="L356" s="394" t="s">
        <v>1103</v>
      </c>
      <c r="M356" s="394"/>
      <c r="N356" s="389">
        <f>AVERAGE(H356,I356,K356)</f>
        <v>5.3</v>
      </c>
      <c r="O356" s="397">
        <v>3153</v>
      </c>
      <c r="P356" s="398">
        <v>1765</v>
      </c>
      <c r="Q356" s="397">
        <v>1466</v>
      </c>
      <c r="R356" s="397">
        <v>2640</v>
      </c>
      <c r="S356" s="397">
        <v>1534</v>
      </c>
      <c r="T356" s="397">
        <v>1524</v>
      </c>
      <c r="U356" s="397">
        <v>215</v>
      </c>
      <c r="V356" s="397">
        <v>215</v>
      </c>
      <c r="W356" s="397">
        <v>320</v>
      </c>
      <c r="X356" s="397">
        <v>280</v>
      </c>
      <c r="Y356" s="397">
        <f>S356-('FMTC Main'!$E$22-U356)</f>
        <v>1749</v>
      </c>
      <c r="Z356" s="399">
        <f>T356-('FMTC Main'!$E$27-V356)</f>
        <v>1739</v>
      </c>
      <c r="AA356" s="400" t="str">
        <f>A356&amp;" "&amp;B356&amp;" "&amp;C356</f>
        <v>2009 Mazda Mazdaspeed 3</v>
      </c>
    </row>
    <row r="357" spans="1:27" ht="12.95" customHeight="1">
      <c r="A357" s="394">
        <v>2010</v>
      </c>
      <c r="B357" s="394" t="s">
        <v>203</v>
      </c>
      <c r="C357" s="394" t="s">
        <v>205</v>
      </c>
      <c r="D357" s="410">
        <v>17000</v>
      </c>
      <c r="E357" s="394" t="s">
        <v>1087</v>
      </c>
      <c r="F357" s="394">
        <v>417</v>
      </c>
      <c r="G357" s="396">
        <v>5.4</v>
      </c>
      <c r="H357" s="396">
        <v>4.8</v>
      </c>
      <c r="I357" s="396">
        <v>6.4</v>
      </c>
      <c r="J357" s="396">
        <v>6.4</v>
      </c>
      <c r="K357" s="396">
        <v>4.7</v>
      </c>
      <c r="L357" s="394" t="s">
        <v>1103</v>
      </c>
      <c r="M357" s="394"/>
      <c r="N357" s="389">
        <f>AVERAGE(H357,I357,K357)</f>
        <v>5.3</v>
      </c>
      <c r="O357" s="397">
        <v>3221</v>
      </c>
      <c r="P357" s="398">
        <v>1770</v>
      </c>
      <c r="Q357" s="397">
        <v>1461</v>
      </c>
      <c r="R357" s="397">
        <v>2639</v>
      </c>
      <c r="S357" s="397">
        <v>1534</v>
      </c>
      <c r="T357" s="397">
        <v>1524</v>
      </c>
      <c r="U357" s="397">
        <v>225</v>
      </c>
      <c r="V357" s="397">
        <v>225</v>
      </c>
      <c r="W357" s="397">
        <v>320</v>
      </c>
      <c r="X357" s="397">
        <v>280</v>
      </c>
      <c r="Y357" s="397">
        <f>S357-('FMTC Main'!$E$22-U357)</f>
        <v>1759</v>
      </c>
      <c r="Z357" s="399">
        <f>T357-('FMTC Main'!$E$27-V357)</f>
        <v>1749</v>
      </c>
      <c r="AA357" s="400" t="str">
        <f>A357&amp;" "&amp;B357&amp;" "&amp;C357</f>
        <v>2010 Mazda Mazdaspeed 3</v>
      </c>
    </row>
    <row r="358" spans="1:27" ht="12.95" customHeight="1">
      <c r="A358" s="394">
        <v>2001</v>
      </c>
      <c r="B358" s="394" t="s">
        <v>203</v>
      </c>
      <c r="C358" s="394" t="s">
        <v>292</v>
      </c>
      <c r="D358" s="395">
        <v>6000</v>
      </c>
      <c r="E358" s="394" t="s">
        <v>1085</v>
      </c>
      <c r="F358" s="394">
        <v>283</v>
      </c>
      <c r="G358" s="396">
        <v>4.4000000000000004</v>
      </c>
      <c r="H358" s="396">
        <v>4.3</v>
      </c>
      <c r="I358" s="396">
        <v>5</v>
      </c>
      <c r="J358" s="396">
        <v>5.4</v>
      </c>
      <c r="K358" s="396">
        <v>4.2</v>
      </c>
      <c r="L358" s="394" t="s">
        <v>1103</v>
      </c>
      <c r="M358" s="394"/>
      <c r="N358" s="389">
        <f>AVERAGE(H358,I358,K358)</f>
        <v>4.5</v>
      </c>
      <c r="O358" s="397">
        <v>2843</v>
      </c>
      <c r="P358" s="398">
        <v>1704</v>
      </c>
      <c r="Q358" s="397">
        <v>1410</v>
      </c>
      <c r="R358" s="397">
        <v>2611</v>
      </c>
      <c r="S358" s="397">
        <v>1455</v>
      </c>
      <c r="T358" s="397">
        <v>1460</v>
      </c>
      <c r="U358" s="397">
        <v>205</v>
      </c>
      <c r="V358" s="397">
        <v>205</v>
      </c>
      <c r="W358" s="397">
        <v>256</v>
      </c>
      <c r="X358" s="397">
        <v>261</v>
      </c>
      <c r="Y358" s="397">
        <f>S358-('FMTC Main'!$E$22-U358)</f>
        <v>1660</v>
      </c>
      <c r="Z358" s="399">
        <f>T358-('FMTC Main'!$E$27-V358)</f>
        <v>1665</v>
      </c>
      <c r="AA358" s="400" t="str">
        <f>A358&amp;" "&amp;B358&amp;" "&amp;C358</f>
        <v>2001 Mazda Mazdaspeed Familia</v>
      </c>
    </row>
    <row r="359" spans="1:27" ht="12.95" customHeight="1">
      <c r="A359" s="394">
        <v>2001</v>
      </c>
      <c r="B359" s="394" t="s">
        <v>203</v>
      </c>
      <c r="C359" s="394" t="s">
        <v>207</v>
      </c>
      <c r="D359" s="395">
        <v>13000</v>
      </c>
      <c r="E359" s="394" t="s">
        <v>1085</v>
      </c>
      <c r="F359" s="394">
        <v>334</v>
      </c>
      <c r="G359" s="396">
        <v>3.9</v>
      </c>
      <c r="H359" s="396">
        <v>5.3</v>
      </c>
      <c r="I359" s="396">
        <v>5.5</v>
      </c>
      <c r="J359" s="396">
        <v>5.9</v>
      </c>
      <c r="K359" s="396">
        <v>5.2</v>
      </c>
      <c r="L359" s="394" t="s">
        <v>1103</v>
      </c>
      <c r="M359" s="394"/>
      <c r="N359" s="389">
        <f>AVERAGE(H359,I359,K359)</f>
        <v>5.333333333333333</v>
      </c>
      <c r="O359" s="397">
        <v>2385</v>
      </c>
      <c r="P359" s="398">
        <v>1680</v>
      </c>
      <c r="Q359" s="397">
        <v>1225</v>
      </c>
      <c r="R359" s="397">
        <v>2265</v>
      </c>
      <c r="S359" s="397">
        <v>1405</v>
      </c>
      <c r="T359" s="397">
        <v>1430</v>
      </c>
      <c r="U359" s="397">
        <v>205</v>
      </c>
      <c r="V359" s="397">
        <v>205</v>
      </c>
      <c r="W359" s="397">
        <v>314</v>
      </c>
      <c r="X359" s="397">
        <v>314</v>
      </c>
      <c r="Y359" s="399">
        <f>S359-('FMTC Main'!$E$22-U359)</f>
        <v>1610</v>
      </c>
      <c r="Z359" s="399">
        <f>T359-('FMTC Main'!$E$27-V359)</f>
        <v>1635</v>
      </c>
      <c r="AA359" s="400" t="str">
        <f>A359&amp;" "&amp;B359&amp;" "&amp;C359</f>
        <v>2001 Mazda Mazdaspeed Roadster</v>
      </c>
    </row>
    <row r="360" spans="1:27" ht="12.95" customHeight="1">
      <c r="A360" s="394">
        <v>1994</v>
      </c>
      <c r="B360" s="394" t="s">
        <v>203</v>
      </c>
      <c r="C360" s="394" t="s">
        <v>918</v>
      </c>
      <c r="D360" s="395">
        <v>7000</v>
      </c>
      <c r="E360" s="394" t="s">
        <v>1083</v>
      </c>
      <c r="F360" s="394">
        <v>226</v>
      </c>
      <c r="G360" s="396">
        <v>3.1</v>
      </c>
      <c r="H360" s="396">
        <v>4.9000000000000004</v>
      </c>
      <c r="I360" s="396">
        <v>4.9000000000000004</v>
      </c>
      <c r="J360" s="396">
        <v>5.2</v>
      </c>
      <c r="K360" s="396">
        <v>4.8</v>
      </c>
      <c r="L360" s="394" t="s">
        <v>1103</v>
      </c>
      <c r="M360" s="394"/>
      <c r="N360" s="389">
        <f>AVERAGE(H360,I360,K360)</f>
        <v>4.8666666666666671</v>
      </c>
      <c r="O360" s="397">
        <v>2330</v>
      </c>
      <c r="P360" s="398">
        <v>1675</v>
      </c>
      <c r="Q360" s="397">
        <v>1230</v>
      </c>
      <c r="R360" s="397">
        <v>2265</v>
      </c>
      <c r="S360" s="397">
        <v>1410</v>
      </c>
      <c r="T360" s="397">
        <v>1430</v>
      </c>
      <c r="U360" s="397">
        <v>185</v>
      </c>
      <c r="V360" s="397">
        <v>185</v>
      </c>
      <c r="W360" s="397">
        <v>255</v>
      </c>
      <c r="X360" s="397">
        <v>251</v>
      </c>
      <c r="Y360" s="399">
        <f>S360-('FMTC Main'!$E$22-U360)</f>
        <v>1595</v>
      </c>
      <c r="Z360" s="399">
        <f>T360-('FMTC Main'!$E$27-V360)</f>
        <v>1615</v>
      </c>
      <c r="AA360" s="400" t="str">
        <f>A360&amp;" "&amp;B360&amp;" "&amp;C360</f>
        <v>1994 Mazda MX-5 Miata</v>
      </c>
    </row>
    <row r="361" spans="1:27" ht="12.95" customHeight="1">
      <c r="A361" s="394">
        <v>2007</v>
      </c>
      <c r="B361" s="394" t="s">
        <v>203</v>
      </c>
      <c r="C361" s="394" t="s">
        <v>206</v>
      </c>
      <c r="D361" s="410">
        <v>15000</v>
      </c>
      <c r="E361" s="394" t="s">
        <v>1085</v>
      </c>
      <c r="F361" s="394">
        <v>309</v>
      </c>
      <c r="G361" s="396">
        <v>3.9</v>
      </c>
      <c r="H361" s="396">
        <v>5</v>
      </c>
      <c r="I361" s="396">
        <v>5.4</v>
      </c>
      <c r="J361" s="396">
        <v>5.9</v>
      </c>
      <c r="K361" s="396">
        <v>4.9000000000000004</v>
      </c>
      <c r="L361" s="394" t="s">
        <v>1103</v>
      </c>
      <c r="M361" s="394"/>
      <c r="N361" s="389">
        <f>AVERAGE(H361,I361,K361)</f>
        <v>5.1000000000000005</v>
      </c>
      <c r="O361" s="397">
        <v>2510</v>
      </c>
      <c r="P361" s="398">
        <v>1720</v>
      </c>
      <c r="Q361" s="397">
        <v>1245</v>
      </c>
      <c r="R361" s="397">
        <v>2329</v>
      </c>
      <c r="S361" s="397">
        <v>1491</v>
      </c>
      <c r="T361" s="397">
        <v>1491</v>
      </c>
      <c r="U361" s="397">
        <v>205</v>
      </c>
      <c r="V361" s="397">
        <v>205</v>
      </c>
      <c r="W361" s="397">
        <v>290</v>
      </c>
      <c r="X361" s="397">
        <v>280</v>
      </c>
      <c r="Y361" s="399">
        <f>S361-('FMTC Main'!$E$22-U361)</f>
        <v>1696</v>
      </c>
      <c r="Z361" s="399">
        <f>T361-('FMTC Main'!$E$27-V361)</f>
        <v>1696</v>
      </c>
      <c r="AA361" s="400" t="str">
        <f>A361&amp;" "&amp;B361&amp;" "&amp;C361</f>
        <v>2007 Mazda MX-5 Roadster Coupe</v>
      </c>
    </row>
    <row r="362" spans="1:27" ht="12.95" customHeight="1">
      <c r="A362" s="394">
        <v>2010</v>
      </c>
      <c r="B362" s="394" t="s">
        <v>203</v>
      </c>
      <c r="C362" s="394" t="s">
        <v>703</v>
      </c>
      <c r="D362" s="410">
        <v>28000</v>
      </c>
      <c r="E362" s="394" t="s">
        <v>1085</v>
      </c>
      <c r="F362" s="394">
        <v>323</v>
      </c>
      <c r="G362" s="396">
        <v>3.8</v>
      </c>
      <c r="H362" s="396">
        <v>5.3</v>
      </c>
      <c r="I362" s="396">
        <v>5.3</v>
      </c>
      <c r="J362" s="396">
        <v>5.8</v>
      </c>
      <c r="K362" s="396">
        <v>5.2</v>
      </c>
      <c r="L362" s="394" t="s">
        <v>1103</v>
      </c>
      <c r="M362" s="394"/>
      <c r="N362" s="389">
        <f>AVERAGE(H362,I362,K362)</f>
        <v>5.2666666666666666</v>
      </c>
      <c r="O362" s="397">
        <v>2194</v>
      </c>
      <c r="P362" s="398">
        <v>1720</v>
      </c>
      <c r="Q362" s="397">
        <v>1245</v>
      </c>
      <c r="R362" s="397">
        <v>2329</v>
      </c>
      <c r="S362" s="397">
        <v>1491</v>
      </c>
      <c r="T362" s="397">
        <v>1496</v>
      </c>
      <c r="U362" s="397">
        <v>205</v>
      </c>
      <c r="V362" s="397">
        <v>205</v>
      </c>
      <c r="W362" s="397">
        <v>290</v>
      </c>
      <c r="X362" s="397">
        <v>280</v>
      </c>
      <c r="Y362" s="399">
        <f>S362-('FMTC Main'!$E$22-U362)</f>
        <v>1696</v>
      </c>
      <c r="Z362" s="399">
        <f>T362-('FMTC Main'!$E$27-V362)</f>
        <v>1701</v>
      </c>
      <c r="AA362" s="400" t="str">
        <f>A362&amp;" "&amp;B362&amp;" "&amp;C362</f>
        <v>2010 Mazda MX-5 Superlight</v>
      </c>
    </row>
    <row r="363" spans="1:27" ht="12.95" customHeight="1">
      <c r="A363" s="394">
        <v>1997</v>
      </c>
      <c r="B363" s="394" t="s">
        <v>203</v>
      </c>
      <c r="C363" s="394" t="s">
        <v>208</v>
      </c>
      <c r="D363" s="395">
        <v>18000</v>
      </c>
      <c r="E363" s="394" t="s">
        <v>1088</v>
      </c>
      <c r="F363" s="394">
        <v>441</v>
      </c>
      <c r="G363" s="396">
        <v>7.1</v>
      </c>
      <c r="H363" s="396">
        <v>4.9000000000000004</v>
      </c>
      <c r="I363" s="396">
        <v>6.7</v>
      </c>
      <c r="J363" s="396">
        <v>7.1</v>
      </c>
      <c r="K363" s="396">
        <v>4.7</v>
      </c>
      <c r="L363" s="394" t="s">
        <v>1103</v>
      </c>
      <c r="M363" s="394"/>
      <c r="N363" s="389">
        <f>AVERAGE(H363,I363,K363)</f>
        <v>5.4333333333333336</v>
      </c>
      <c r="O363" s="397">
        <v>2831</v>
      </c>
      <c r="P363" s="398">
        <v>1750</v>
      </c>
      <c r="Q363" s="397">
        <v>1230</v>
      </c>
      <c r="R363" s="397">
        <v>2426</v>
      </c>
      <c r="S363" s="397">
        <v>1461</v>
      </c>
      <c r="T363" s="397">
        <v>1461</v>
      </c>
      <c r="U363" s="397">
        <v>225</v>
      </c>
      <c r="V363" s="397">
        <v>225</v>
      </c>
      <c r="W363" s="397">
        <v>295</v>
      </c>
      <c r="X363" s="397">
        <v>295</v>
      </c>
      <c r="Y363" s="399">
        <f>S363-('FMTC Main'!$E$22-U363)</f>
        <v>1686</v>
      </c>
      <c r="Z363" s="399">
        <f>T363-('FMTC Main'!$E$27-V363)</f>
        <v>1686</v>
      </c>
      <c r="AA363" s="400" t="str">
        <f>A363&amp;" "&amp;B363&amp;" "&amp;C363</f>
        <v>1997 Mazda RX-7</v>
      </c>
    </row>
    <row r="364" spans="1:27" ht="12.95" customHeight="1">
      <c r="A364" s="394">
        <v>2002</v>
      </c>
      <c r="B364" s="394" t="s">
        <v>203</v>
      </c>
      <c r="C364" s="394" t="s">
        <v>209</v>
      </c>
      <c r="D364" s="395">
        <v>20000</v>
      </c>
      <c r="E364" s="394" t="s">
        <v>1087</v>
      </c>
      <c r="F364" s="394">
        <v>388</v>
      </c>
      <c r="G364" s="396">
        <v>5.5</v>
      </c>
      <c r="H364" s="396">
        <v>5.2</v>
      </c>
      <c r="I364" s="396">
        <v>5.9</v>
      </c>
      <c r="J364" s="396">
        <v>6.4</v>
      </c>
      <c r="K364" s="396">
        <v>5.0999999999999996</v>
      </c>
      <c r="L364" s="394" t="s">
        <v>1103</v>
      </c>
      <c r="M364" s="394" t="s">
        <v>1096</v>
      </c>
      <c r="N364" s="389">
        <f>AVERAGE(H364,I364,K364)</f>
        <v>5.4000000000000012</v>
      </c>
      <c r="O364" s="397">
        <v>3100</v>
      </c>
      <c r="P364" s="398">
        <v>1750</v>
      </c>
      <c r="Q364" s="397">
        <v>1230</v>
      </c>
      <c r="R364" s="397">
        <v>2425</v>
      </c>
      <c r="S364" s="397">
        <v>1460</v>
      </c>
      <c r="T364" s="397">
        <v>1460</v>
      </c>
      <c r="U364" s="397">
        <v>225</v>
      </c>
      <c r="V364" s="397">
        <v>225</v>
      </c>
      <c r="W364" s="397">
        <v>314</v>
      </c>
      <c r="X364" s="397">
        <v>314</v>
      </c>
      <c r="Y364" s="399">
        <f>S364-('FMTC Main'!$E$22-U364)</f>
        <v>1685</v>
      </c>
      <c r="Z364" s="399">
        <f>T364-('FMTC Main'!$E$27-V364)</f>
        <v>1685</v>
      </c>
      <c r="AA364" s="400" t="str">
        <f>A364&amp;" "&amp;B364&amp;" "&amp;C364</f>
        <v>2002 Mazda RX-7 Spirit R Type-A</v>
      </c>
    </row>
    <row r="365" spans="1:27" ht="12.95" customHeight="1">
      <c r="A365" s="394">
        <v>2004</v>
      </c>
      <c r="B365" s="394" t="s">
        <v>203</v>
      </c>
      <c r="C365" s="394" t="s">
        <v>210</v>
      </c>
      <c r="D365" s="395">
        <v>7000</v>
      </c>
      <c r="E365" s="394" t="s">
        <v>1087</v>
      </c>
      <c r="F365" s="394">
        <v>354</v>
      </c>
      <c r="G365" s="396">
        <v>5.7</v>
      </c>
      <c r="H365" s="396">
        <v>4.8</v>
      </c>
      <c r="I365" s="396">
        <v>5.8</v>
      </c>
      <c r="J365" s="396">
        <v>6.5</v>
      </c>
      <c r="K365" s="396">
        <v>4.5999999999999996</v>
      </c>
      <c r="L365" s="394" t="s">
        <v>1103</v>
      </c>
      <c r="M365" s="394"/>
      <c r="N365" s="389">
        <f>AVERAGE(H365,I365,K365)</f>
        <v>5.0666666666666664</v>
      </c>
      <c r="O365" s="397">
        <v>3100</v>
      </c>
      <c r="P365" s="398">
        <v>1770</v>
      </c>
      <c r="Q365" s="397">
        <v>1341</v>
      </c>
      <c r="R365" s="397">
        <v>2703</v>
      </c>
      <c r="S365" s="397">
        <v>1501</v>
      </c>
      <c r="T365" s="397">
        <v>1506</v>
      </c>
      <c r="U365" s="397">
        <v>225</v>
      </c>
      <c r="V365" s="397">
        <v>225</v>
      </c>
      <c r="W365" s="397">
        <v>323</v>
      </c>
      <c r="X365" s="397">
        <v>301</v>
      </c>
      <c r="Y365" s="399">
        <f>S365-('FMTC Main'!$E$22-U365)</f>
        <v>1726</v>
      </c>
      <c r="Z365" s="399">
        <f>T365-('FMTC Main'!$E$27-V365)</f>
        <v>1731</v>
      </c>
      <c r="AA365" s="400" t="str">
        <f>A365&amp;" "&amp;B365&amp;" "&amp;C365</f>
        <v>2004 Mazda RX-8 Mazdaspeed</v>
      </c>
    </row>
    <row r="366" spans="1:27" ht="12.95" customHeight="1">
      <c r="A366" s="402">
        <v>2011</v>
      </c>
      <c r="B366" s="402" t="s">
        <v>203</v>
      </c>
      <c r="C366" s="402" t="s">
        <v>1143</v>
      </c>
      <c r="D366" s="403">
        <v>27000</v>
      </c>
      <c r="E366" s="402" t="s">
        <v>1087</v>
      </c>
      <c r="F366" s="402">
        <v>411</v>
      </c>
      <c r="G366" s="404">
        <v>5.5</v>
      </c>
      <c r="H366" s="404">
        <v>5.2</v>
      </c>
      <c r="I366" s="404">
        <v>6.2</v>
      </c>
      <c r="J366" s="404">
        <v>6.9</v>
      </c>
      <c r="K366" s="404">
        <v>5.0999999999999996</v>
      </c>
      <c r="L366" s="402" t="s">
        <v>1103</v>
      </c>
      <c r="M366" s="402" t="s">
        <v>1141</v>
      </c>
      <c r="N366" s="389">
        <f>AVERAGE(H366,I366,K366)</f>
        <v>5.5</v>
      </c>
      <c r="O366" s="405">
        <v>3065</v>
      </c>
      <c r="P366" s="405">
        <v>1770</v>
      </c>
      <c r="Q366" s="405">
        <v>1341</v>
      </c>
      <c r="R366" s="405">
        <v>2702</v>
      </c>
      <c r="S366" s="405">
        <v>1501</v>
      </c>
      <c r="T366" s="405">
        <v>1506</v>
      </c>
      <c r="U366" s="405">
        <v>225</v>
      </c>
      <c r="V366" s="405">
        <v>225</v>
      </c>
      <c r="W366" s="405">
        <v>323</v>
      </c>
      <c r="X366" s="405">
        <v>302</v>
      </c>
      <c r="Y366" s="406">
        <f>S366-('FMTC Main'!$E$22-U366)</f>
        <v>1726</v>
      </c>
      <c r="Z366" s="406">
        <f>T366-('FMTC Main'!$E$27-V366)</f>
        <v>1731</v>
      </c>
      <c r="AA366" s="407" t="str">
        <f>A366&amp;" "&amp;B366&amp;" "&amp;C366</f>
        <v>2011 Mazda RX-8 R3</v>
      </c>
    </row>
    <row r="367" spans="1:27" ht="12.95" customHeight="1">
      <c r="A367" s="394">
        <v>1990</v>
      </c>
      <c r="B367" s="394" t="s">
        <v>203</v>
      </c>
      <c r="C367" s="394" t="s">
        <v>1073</v>
      </c>
      <c r="D367" s="395">
        <v>26000</v>
      </c>
      <c r="E367" s="394" t="s">
        <v>1088</v>
      </c>
      <c r="F367" s="394">
        <v>497</v>
      </c>
      <c r="G367" s="396">
        <v>7.1</v>
      </c>
      <c r="H367" s="396">
        <v>5.3</v>
      </c>
      <c r="I367" s="396">
        <v>7.1</v>
      </c>
      <c r="J367" s="396">
        <v>7.5</v>
      </c>
      <c r="K367" s="396">
        <v>5.0999999999999996</v>
      </c>
      <c r="L367" s="394" t="s">
        <v>1103</v>
      </c>
      <c r="M367" s="394"/>
      <c r="N367" s="389">
        <f>AVERAGE(H367,I367,K367)</f>
        <v>5.833333333333333</v>
      </c>
      <c r="O367" s="397">
        <v>2981</v>
      </c>
      <c r="P367" s="398">
        <v>1690</v>
      </c>
      <c r="Q367" s="397">
        <v>1265</v>
      </c>
      <c r="R367" s="397">
        <v>2430</v>
      </c>
      <c r="S367" s="397">
        <v>1448</v>
      </c>
      <c r="T367" s="397">
        <v>1438</v>
      </c>
      <c r="U367" s="397">
        <v>205</v>
      </c>
      <c r="V367" s="397">
        <v>205</v>
      </c>
      <c r="W367" s="397">
        <v>276</v>
      </c>
      <c r="X367" s="397">
        <v>273</v>
      </c>
      <c r="Y367" s="399">
        <f>S367-('FMTC Main'!$E$22-U367)</f>
        <v>1653</v>
      </c>
      <c r="Z367" s="399">
        <f>T367-('FMTC Main'!$E$27-V367)</f>
        <v>1643</v>
      </c>
      <c r="AA367" s="400" t="str">
        <f>A367&amp;" "&amp;B367&amp;" "&amp;C367</f>
        <v>1990 Mazda Savanna RX-7</v>
      </c>
    </row>
    <row r="368" spans="1:27" ht="12.95" customHeight="1">
      <c r="A368" s="394">
        <v>1998</v>
      </c>
      <c r="B368" s="394" t="s">
        <v>211</v>
      </c>
      <c r="C368" s="394" t="s">
        <v>921</v>
      </c>
      <c r="D368" s="410">
        <v>1500000</v>
      </c>
      <c r="E368" s="394" t="s">
        <v>1091</v>
      </c>
      <c r="F368" s="394">
        <v>848</v>
      </c>
      <c r="G368" s="396">
        <v>7.1</v>
      </c>
      <c r="H368" s="396">
        <v>8.5</v>
      </c>
      <c r="I368" s="396">
        <v>9.5</v>
      </c>
      <c r="J368" s="396">
        <v>8.6</v>
      </c>
      <c r="K368" s="396">
        <v>8.6</v>
      </c>
      <c r="L368" s="394" t="s">
        <v>1076</v>
      </c>
      <c r="M368" s="394"/>
      <c r="N368" s="389">
        <f>AVERAGE(H368,I368,K368)</f>
        <v>8.8666666666666671</v>
      </c>
      <c r="O368" s="397">
        <v>2017</v>
      </c>
      <c r="P368" s="398">
        <v>1820</v>
      </c>
      <c r="Q368" s="397">
        <v>1140</v>
      </c>
      <c r="R368" s="397">
        <v>2718</v>
      </c>
      <c r="S368" s="397">
        <v>1568</v>
      </c>
      <c r="T368" s="397">
        <v>1472</v>
      </c>
      <c r="U368" s="397">
        <v>270</v>
      </c>
      <c r="V368" s="397">
        <v>300</v>
      </c>
      <c r="W368" s="397">
        <v>332</v>
      </c>
      <c r="X368" s="397">
        <v>305</v>
      </c>
      <c r="Y368" s="399">
        <f>S368-('FMTC Main'!$E$22-U368)</f>
        <v>1838</v>
      </c>
      <c r="Z368" s="399">
        <f>T368-('FMTC Main'!$E$27-V368)</f>
        <v>1772</v>
      </c>
      <c r="AA368" s="400" t="str">
        <f>A368&amp;" "&amp;B368&amp;" "&amp;C368</f>
        <v>1998 McLaren #18 Gulf Team Davidoff F1 GTR</v>
      </c>
    </row>
    <row r="369" spans="1:27" ht="12.95" customHeight="1">
      <c r="A369" s="394">
        <v>1997</v>
      </c>
      <c r="B369" s="394" t="s">
        <v>211</v>
      </c>
      <c r="C369" s="394" t="s">
        <v>920</v>
      </c>
      <c r="D369" s="410">
        <v>1500000</v>
      </c>
      <c r="E369" s="394" t="s">
        <v>1091</v>
      </c>
      <c r="F369" s="394">
        <v>848</v>
      </c>
      <c r="G369" s="396">
        <v>7.1</v>
      </c>
      <c r="H369" s="396">
        <v>8.5</v>
      </c>
      <c r="I369" s="396">
        <v>9.5</v>
      </c>
      <c r="J369" s="396">
        <v>8.6</v>
      </c>
      <c r="K369" s="396">
        <v>8.6</v>
      </c>
      <c r="L369" s="394" t="s">
        <v>1076</v>
      </c>
      <c r="M369" s="394"/>
      <c r="N369" s="389">
        <f>AVERAGE(H369,I369,K369)</f>
        <v>8.8666666666666671</v>
      </c>
      <c r="O369" s="397">
        <v>2017</v>
      </c>
      <c r="P369" s="398">
        <v>1820</v>
      </c>
      <c r="Q369" s="397">
        <v>1140</v>
      </c>
      <c r="R369" s="397">
        <v>2718</v>
      </c>
      <c r="S369" s="397">
        <v>1568</v>
      </c>
      <c r="T369" s="397">
        <v>1472</v>
      </c>
      <c r="U369" s="397">
        <v>270</v>
      </c>
      <c r="V369" s="397">
        <v>300</v>
      </c>
      <c r="W369" s="397">
        <v>332</v>
      </c>
      <c r="X369" s="397">
        <v>305</v>
      </c>
      <c r="Y369" s="399">
        <f>S369-('FMTC Main'!$E$22-U369)</f>
        <v>1838</v>
      </c>
      <c r="Z369" s="399">
        <f>T369-('FMTC Main'!$E$27-V369)</f>
        <v>1772</v>
      </c>
      <c r="AA369" s="400" t="str">
        <f>A369&amp;" "&amp;B369&amp;" "&amp;C369</f>
        <v>1997 McLaren #43 Team BMW Motorsport F1 GTR</v>
      </c>
    </row>
    <row r="370" spans="1:27" ht="12.95" customHeight="1">
      <c r="A370" s="394">
        <v>1993</v>
      </c>
      <c r="B370" s="394" t="s">
        <v>211</v>
      </c>
      <c r="C370" s="394" t="s">
        <v>919</v>
      </c>
      <c r="D370" s="410">
        <v>3000000</v>
      </c>
      <c r="E370" s="394" t="s">
        <v>1092</v>
      </c>
      <c r="F370" s="394">
        <v>663</v>
      </c>
      <c r="G370" s="396">
        <v>10</v>
      </c>
      <c r="H370" s="396">
        <v>6</v>
      </c>
      <c r="I370" s="396">
        <v>9</v>
      </c>
      <c r="J370" s="396">
        <v>8.3000000000000007</v>
      </c>
      <c r="K370" s="396">
        <v>5.8</v>
      </c>
      <c r="L370" s="394" t="s">
        <v>1076</v>
      </c>
      <c r="M370" s="394"/>
      <c r="N370" s="389">
        <f>AVERAGE(H370,I370,K370)</f>
        <v>6.9333333333333336</v>
      </c>
      <c r="O370" s="397">
        <v>2840</v>
      </c>
      <c r="P370" s="398">
        <v>1820</v>
      </c>
      <c r="Q370" s="397">
        <v>1140</v>
      </c>
      <c r="R370" s="397">
        <v>2718</v>
      </c>
      <c r="S370" s="397">
        <v>1568</v>
      </c>
      <c r="T370" s="397">
        <v>1472</v>
      </c>
      <c r="U370" s="397">
        <v>235</v>
      </c>
      <c r="V370" s="397">
        <v>315</v>
      </c>
      <c r="W370" s="397">
        <v>332</v>
      </c>
      <c r="X370" s="397">
        <v>305</v>
      </c>
      <c r="Y370" s="399">
        <f>S370-('FMTC Main'!$E$22-U370)</f>
        <v>1803</v>
      </c>
      <c r="Z370" s="399">
        <f>T370-('FMTC Main'!$E$27-V370)</f>
        <v>1787</v>
      </c>
      <c r="AA370" s="400" t="str">
        <f>A370&amp;" "&amp;B370&amp;" "&amp;C370</f>
        <v>1993 McLaren F1</v>
      </c>
    </row>
    <row r="371" spans="1:27" ht="12.95" customHeight="1">
      <c r="A371" s="394">
        <v>1997</v>
      </c>
      <c r="B371" s="394" t="s">
        <v>211</v>
      </c>
      <c r="C371" s="394" t="s">
        <v>212</v>
      </c>
      <c r="D371" s="410">
        <v>4000000</v>
      </c>
      <c r="E371" s="394" t="s">
        <v>1094</v>
      </c>
      <c r="F371" s="394">
        <v>703</v>
      </c>
      <c r="G371" s="396">
        <v>10</v>
      </c>
      <c r="H371" s="396">
        <v>6.5</v>
      </c>
      <c r="I371" s="396">
        <v>9.1999999999999993</v>
      </c>
      <c r="J371" s="396">
        <v>8.5</v>
      </c>
      <c r="K371" s="396">
        <v>6.3</v>
      </c>
      <c r="L371" s="394" t="s">
        <v>1076</v>
      </c>
      <c r="M371" s="394"/>
      <c r="N371" s="389">
        <f>AVERAGE(H371,I371,K371)</f>
        <v>7.333333333333333</v>
      </c>
      <c r="O371" s="397">
        <v>2469</v>
      </c>
      <c r="P371" s="398">
        <v>1940</v>
      </c>
      <c r="Q371" s="397">
        <v>1200</v>
      </c>
      <c r="R371" s="397">
        <v>2718</v>
      </c>
      <c r="S371" s="397">
        <v>1620</v>
      </c>
      <c r="T371" s="397">
        <v>1582</v>
      </c>
      <c r="U371" s="397">
        <v>275</v>
      </c>
      <c r="V371" s="397">
        <v>345</v>
      </c>
      <c r="W371" s="397">
        <v>332</v>
      </c>
      <c r="X371" s="397">
        <v>305</v>
      </c>
      <c r="Y371" s="399">
        <f>S371-('FMTC Main'!$E$22-U371)</f>
        <v>1895</v>
      </c>
      <c r="Z371" s="399">
        <f>T371-('FMTC Main'!$E$27-V371)</f>
        <v>1927</v>
      </c>
      <c r="AA371" s="400" t="str">
        <f>A371&amp;" "&amp;B371&amp;" "&amp;C371</f>
        <v>1997 McLaren F1 GT</v>
      </c>
    </row>
    <row r="372" spans="1:27" ht="12.95" customHeight="1">
      <c r="A372" s="394">
        <v>2011</v>
      </c>
      <c r="B372" s="394" t="s">
        <v>211</v>
      </c>
      <c r="C372" s="394" t="s">
        <v>704</v>
      </c>
      <c r="D372" s="410">
        <v>220000</v>
      </c>
      <c r="E372" s="394" t="s">
        <v>1092</v>
      </c>
      <c r="F372" s="394">
        <v>664</v>
      </c>
      <c r="G372" s="396">
        <v>9.1999999999999993</v>
      </c>
      <c r="H372" s="396">
        <v>5.9</v>
      </c>
      <c r="I372" s="396">
        <v>8.9</v>
      </c>
      <c r="J372" s="396">
        <v>8</v>
      </c>
      <c r="K372" s="396">
        <v>5.8</v>
      </c>
      <c r="L372" s="394" t="s">
        <v>1076</v>
      </c>
      <c r="M372" s="394"/>
      <c r="N372" s="389">
        <f>AVERAGE(H372,I372,K372)</f>
        <v>6.8666666666666671</v>
      </c>
      <c r="O372" s="397">
        <v>3031</v>
      </c>
      <c r="P372" s="398">
        <v>1908</v>
      </c>
      <c r="Q372" s="397">
        <v>1199</v>
      </c>
      <c r="R372" s="397">
        <v>2670</v>
      </c>
      <c r="S372" s="397">
        <v>1656</v>
      </c>
      <c r="T372" s="397">
        <v>1583</v>
      </c>
      <c r="U372" s="397">
        <v>235</v>
      </c>
      <c r="V372" s="397">
        <v>305</v>
      </c>
      <c r="W372" s="397">
        <v>370</v>
      </c>
      <c r="X372" s="397">
        <v>350</v>
      </c>
      <c r="Y372" s="399">
        <f>S372-('FMTC Main'!$E$22-U372)</f>
        <v>1891</v>
      </c>
      <c r="Z372" s="399">
        <f>T372-('FMTC Main'!$E$27-V372)</f>
        <v>1888</v>
      </c>
      <c r="AA372" s="400" t="str">
        <f>A372&amp;" "&amp;B372&amp;" "&amp;C372</f>
        <v>2011 McLaren MP4-12C</v>
      </c>
    </row>
    <row r="373" spans="1:27" ht="12.95" customHeight="1">
      <c r="A373" s="394">
        <v>1990</v>
      </c>
      <c r="B373" s="394" t="s">
        <v>381</v>
      </c>
      <c r="C373" s="394" t="s">
        <v>706</v>
      </c>
      <c r="D373" s="410">
        <v>26000</v>
      </c>
      <c r="E373" s="394" t="s">
        <v>1087</v>
      </c>
      <c r="F373" s="394">
        <v>377</v>
      </c>
      <c r="G373" s="396">
        <v>5</v>
      </c>
      <c r="H373" s="396">
        <v>5.3</v>
      </c>
      <c r="I373" s="396">
        <v>5.9</v>
      </c>
      <c r="J373" s="396">
        <v>6.4</v>
      </c>
      <c r="K373" s="396">
        <v>5.3</v>
      </c>
      <c r="L373" s="394" t="s">
        <v>1076</v>
      </c>
      <c r="M373" s="394"/>
      <c r="N373" s="389">
        <f>AVERAGE(H373,I373,K373)</f>
        <v>5.5</v>
      </c>
      <c r="O373" s="397">
        <v>2954</v>
      </c>
      <c r="P373" s="398">
        <v>1720</v>
      </c>
      <c r="Q373" s="397">
        <v>1342</v>
      </c>
      <c r="R373" s="397">
        <v>2664</v>
      </c>
      <c r="S373" s="397">
        <v>1474</v>
      </c>
      <c r="T373" s="397">
        <v>1455</v>
      </c>
      <c r="U373" s="397">
        <v>245</v>
      </c>
      <c r="V373" s="397">
        <v>245</v>
      </c>
      <c r="W373" s="397">
        <v>300</v>
      </c>
      <c r="X373" s="397">
        <v>278</v>
      </c>
      <c r="Y373" s="399">
        <f>S373-('FMTC Main'!$E$22-U373)</f>
        <v>1719</v>
      </c>
      <c r="Z373" s="399">
        <f>T373-('FMTC Main'!$E$27-V373)</f>
        <v>1700</v>
      </c>
      <c r="AA373" s="400" t="str">
        <f>A373&amp;" "&amp;B373&amp;" "&amp;C373</f>
        <v>1990 Mercedes-Benz 190E 2.5-16 Evolution II</v>
      </c>
    </row>
    <row r="374" spans="1:27" ht="12.95" customHeight="1">
      <c r="A374" s="394">
        <v>1954</v>
      </c>
      <c r="B374" s="394" t="s">
        <v>381</v>
      </c>
      <c r="C374" s="394" t="s">
        <v>318</v>
      </c>
      <c r="D374" s="410">
        <v>380000</v>
      </c>
      <c r="E374" s="394" t="s">
        <v>1083</v>
      </c>
      <c r="F374" s="394">
        <v>259</v>
      </c>
      <c r="G374" s="396">
        <v>3.5</v>
      </c>
      <c r="H374" s="396">
        <v>4.0999999999999996</v>
      </c>
      <c r="I374" s="396">
        <v>5.5</v>
      </c>
      <c r="J374" s="396">
        <v>5.9</v>
      </c>
      <c r="K374" s="396">
        <v>4</v>
      </c>
      <c r="L374" s="394" t="s">
        <v>1093</v>
      </c>
      <c r="M374" s="394"/>
      <c r="N374" s="389">
        <f>AVERAGE(H374,I374,K374)</f>
        <v>4.5333333333333332</v>
      </c>
      <c r="O374" s="397">
        <v>2960</v>
      </c>
      <c r="P374" s="398">
        <v>1790</v>
      </c>
      <c r="Q374" s="397">
        <v>1300</v>
      </c>
      <c r="R374" s="397">
        <v>2400</v>
      </c>
      <c r="S374" s="397">
        <v>1385</v>
      </c>
      <c r="T374" s="397">
        <v>1435</v>
      </c>
      <c r="U374" s="397">
        <v>165</v>
      </c>
      <c r="V374" s="397">
        <v>165</v>
      </c>
      <c r="W374" s="397">
        <v>284</v>
      </c>
      <c r="X374" s="397">
        <v>279</v>
      </c>
      <c r="Y374" s="399">
        <f>S374-('FMTC Main'!$E$22-U374)</f>
        <v>1550</v>
      </c>
      <c r="Z374" s="399">
        <f>T374-('FMTC Main'!$E$27-V374)</f>
        <v>1600</v>
      </c>
      <c r="AA374" s="400" t="str">
        <f>A374&amp;" "&amp;B374&amp;" "&amp;C374</f>
        <v>1954 Mercedes-Benz 300SL Gullwing Coupe</v>
      </c>
    </row>
    <row r="375" spans="1:27" ht="12.95" customHeight="1">
      <c r="A375" s="394">
        <v>2009</v>
      </c>
      <c r="B375" s="394" t="s">
        <v>381</v>
      </c>
      <c r="C375" s="394" t="s">
        <v>1066</v>
      </c>
      <c r="D375" s="395">
        <v>25000</v>
      </c>
      <c r="E375" s="394" t="s">
        <v>1085</v>
      </c>
      <c r="F375" s="394">
        <v>280</v>
      </c>
      <c r="G375" s="396">
        <v>4.2</v>
      </c>
      <c r="H375" s="396">
        <v>3.7</v>
      </c>
      <c r="I375" s="396">
        <v>5.7</v>
      </c>
      <c r="J375" s="396">
        <v>5.9</v>
      </c>
      <c r="K375" s="396">
        <v>3.6</v>
      </c>
      <c r="L375" s="394" t="s">
        <v>1093</v>
      </c>
      <c r="M375" s="394"/>
      <c r="N375" s="389">
        <f>AVERAGE(H375,I375,K375)</f>
        <v>4.333333333333333</v>
      </c>
      <c r="O375" s="397">
        <v>2877</v>
      </c>
      <c r="P375" s="398">
        <v>1764</v>
      </c>
      <c r="Q375" s="397">
        <v>1593</v>
      </c>
      <c r="R375" s="397">
        <v>2568</v>
      </c>
      <c r="S375" s="397">
        <v>1556</v>
      </c>
      <c r="T375" s="397">
        <v>1551</v>
      </c>
      <c r="U375" s="397">
        <v>195</v>
      </c>
      <c r="V375" s="397">
        <v>195</v>
      </c>
      <c r="W375" s="397">
        <v>288</v>
      </c>
      <c r="X375" s="397">
        <v>288</v>
      </c>
      <c r="Y375" s="399">
        <f>S375-('FMTC Main'!$E$22-U375)</f>
        <v>1751</v>
      </c>
      <c r="Z375" s="399">
        <f>T375-('FMTC Main'!$E$27-V375)</f>
        <v>1746</v>
      </c>
      <c r="AA375" s="400" t="str">
        <f>A375&amp;" "&amp;B375&amp;" "&amp;C375</f>
        <v>2009 Mercedes-Benz A200 Turbo Coupe</v>
      </c>
    </row>
    <row r="376" spans="1:27" ht="12.95" customHeight="1">
      <c r="A376" s="394">
        <v>1998</v>
      </c>
      <c r="B376" s="394" t="s">
        <v>381</v>
      </c>
      <c r="C376" s="394" t="s">
        <v>1065</v>
      </c>
      <c r="D376" s="395">
        <v>20000</v>
      </c>
      <c r="E376" s="394" t="s">
        <v>1088</v>
      </c>
      <c r="F376" s="394">
        <v>462</v>
      </c>
      <c r="G376" s="396">
        <v>7.9</v>
      </c>
      <c r="H376" s="396">
        <v>4.7</v>
      </c>
      <c r="I376" s="396">
        <v>7</v>
      </c>
      <c r="J376" s="396">
        <v>7.1</v>
      </c>
      <c r="K376" s="396">
        <v>4.5999999999999996</v>
      </c>
      <c r="L376" s="394" t="s">
        <v>1093</v>
      </c>
      <c r="M376" s="394"/>
      <c r="N376" s="389">
        <f>AVERAGE(H376,I376,K376)</f>
        <v>5.4333333333333327</v>
      </c>
      <c r="O376" s="397">
        <v>3175</v>
      </c>
      <c r="P376" s="398">
        <v>1950.72</v>
      </c>
      <c r="Q376" s="397">
        <v>1099.82</v>
      </c>
      <c r="R376" s="397">
        <v>2670</v>
      </c>
      <c r="S376" s="397">
        <v>1666</v>
      </c>
      <c r="T376" s="397">
        <v>1595</v>
      </c>
      <c r="U376" s="397">
        <v>295</v>
      </c>
      <c r="V376" s="397">
        <v>345</v>
      </c>
      <c r="W376" s="397">
        <v>380</v>
      </c>
      <c r="X376" s="397">
        <v>355</v>
      </c>
      <c r="Y376" s="399">
        <f>S376-('FMTC Main'!$E$22-U376)</f>
        <v>1961</v>
      </c>
      <c r="Z376" s="399">
        <f>T376-('FMTC Main'!$E$27-V376)</f>
        <v>1940</v>
      </c>
      <c r="AA376" s="400" t="str">
        <f>A376&amp;" "&amp;B376&amp;" "&amp;C376</f>
        <v>1998 Mercedes-Benz AMG Mercedes CLK GTR</v>
      </c>
    </row>
    <row r="377" spans="1:27" ht="12.95" customHeight="1">
      <c r="A377" s="394">
        <v>2004</v>
      </c>
      <c r="B377" s="394" t="s">
        <v>381</v>
      </c>
      <c r="C377" s="394" t="s">
        <v>213</v>
      </c>
      <c r="D377" s="395">
        <v>1200000</v>
      </c>
      <c r="E377" s="394" t="s">
        <v>1094</v>
      </c>
      <c r="F377" s="394">
        <v>726</v>
      </c>
      <c r="G377" s="396">
        <v>9.4</v>
      </c>
      <c r="H377" s="396">
        <v>6.7</v>
      </c>
      <c r="I377" s="396">
        <v>8.9</v>
      </c>
      <c r="J377" s="396">
        <v>8.3000000000000007</v>
      </c>
      <c r="K377" s="396">
        <v>6.6</v>
      </c>
      <c r="L377" s="394" t="s">
        <v>1093</v>
      </c>
      <c r="M377" s="394"/>
      <c r="N377" s="389">
        <f>AVERAGE(H377,I377,K377)</f>
        <v>7.4000000000000012</v>
      </c>
      <c r="O377" s="397">
        <v>3605</v>
      </c>
      <c r="P377" s="398">
        <v>1727.2</v>
      </c>
      <c r="Q377" s="397">
        <v>1399.54</v>
      </c>
      <c r="R377" s="397">
        <v>2715.26</v>
      </c>
      <c r="S377" s="397">
        <v>1493.52</v>
      </c>
      <c r="T377" s="397">
        <v>1463.04</v>
      </c>
      <c r="U377" s="397">
        <v>225</v>
      </c>
      <c r="V377" s="397">
        <v>245</v>
      </c>
      <c r="W377" s="397">
        <v>345</v>
      </c>
      <c r="X377" s="397">
        <v>300</v>
      </c>
      <c r="Y377" s="399">
        <f>S377-('FMTC Main'!$E$22-U377)</f>
        <v>1718.52</v>
      </c>
      <c r="Z377" s="399">
        <f>T377-('FMTC Main'!$E$27-V377)</f>
        <v>1708.04</v>
      </c>
      <c r="AA377" s="400" t="str">
        <f>A377&amp;" "&amp;B377&amp;" "&amp;C377</f>
        <v>2004 Mercedes-Benz C32 AMG</v>
      </c>
    </row>
    <row r="378" spans="1:27" ht="12.95" customHeight="1">
      <c r="A378" s="394">
        <v>2010</v>
      </c>
      <c r="B378" s="394" t="s">
        <v>381</v>
      </c>
      <c r="C378" s="394" t="s">
        <v>922</v>
      </c>
      <c r="D378" s="395">
        <v>16000</v>
      </c>
      <c r="E378" s="394" t="s">
        <v>1087</v>
      </c>
      <c r="F378" s="394">
        <v>400</v>
      </c>
      <c r="G378" s="396">
        <v>7.2</v>
      </c>
      <c r="H378" s="396">
        <v>4.5</v>
      </c>
      <c r="I378" s="396">
        <v>6.5</v>
      </c>
      <c r="J378" s="396">
        <v>6.7</v>
      </c>
      <c r="K378" s="396">
        <v>4.4000000000000004</v>
      </c>
      <c r="L378" s="394" t="s">
        <v>1093</v>
      </c>
      <c r="M378" s="394"/>
      <c r="N378" s="389">
        <f>AVERAGE(H378,I378,K378)</f>
        <v>5.1333333333333337</v>
      </c>
      <c r="O378" s="397">
        <v>3920</v>
      </c>
      <c r="P378" s="398">
        <v>2012</v>
      </c>
      <c r="Q378" s="397">
        <v>1437.64</v>
      </c>
      <c r="R378" s="397">
        <v>2765</v>
      </c>
      <c r="S378" s="397">
        <v>1569</v>
      </c>
      <c r="T378" s="397">
        <v>1525</v>
      </c>
      <c r="U378" s="397">
        <v>235</v>
      </c>
      <c r="V378" s="397">
        <v>255</v>
      </c>
      <c r="W378" s="397">
        <v>360</v>
      </c>
      <c r="X378" s="397">
        <v>330</v>
      </c>
      <c r="Y378" s="399">
        <f>S378-('FMTC Main'!$E$22-U378)</f>
        <v>1804</v>
      </c>
      <c r="Z378" s="399">
        <f>T378-('FMTC Main'!$E$27-V378)</f>
        <v>1780</v>
      </c>
      <c r="AA378" s="400" t="str">
        <f>A378&amp;" "&amp;B378&amp;" "&amp;C378</f>
        <v>2010 Mercedes-Benz C63 AMG</v>
      </c>
    </row>
    <row r="379" spans="1:27" ht="12.95" customHeight="1">
      <c r="A379" s="394">
        <v>2010</v>
      </c>
      <c r="B379" s="394" t="s">
        <v>381</v>
      </c>
      <c r="C379" s="394" t="s">
        <v>1068</v>
      </c>
      <c r="D379" s="395">
        <v>200000</v>
      </c>
      <c r="E379" s="394" t="s">
        <v>349</v>
      </c>
      <c r="F379" s="394">
        <v>522</v>
      </c>
      <c r="G379" s="396">
        <v>9.8000000000000007</v>
      </c>
      <c r="H379" s="396">
        <v>4.5999999999999996</v>
      </c>
      <c r="I379" s="396">
        <v>7.7</v>
      </c>
      <c r="J379" s="396">
        <v>6.9</v>
      </c>
      <c r="K379" s="396">
        <v>4.7</v>
      </c>
      <c r="L379" s="394" t="s">
        <v>1093</v>
      </c>
      <c r="M379" s="394"/>
      <c r="N379" s="389">
        <f>AVERAGE(H379,I379,K379)</f>
        <v>5.666666666666667</v>
      </c>
      <c r="O379" s="397">
        <v>4938</v>
      </c>
      <c r="P379" s="398">
        <v>2130</v>
      </c>
      <c r="Q379" s="397">
        <v>1419</v>
      </c>
      <c r="R379" s="397">
        <v>2955</v>
      </c>
      <c r="S379" s="397">
        <v>1601</v>
      </c>
      <c r="T379" s="397">
        <v>1607</v>
      </c>
      <c r="U379" s="397">
        <v>255</v>
      </c>
      <c r="V379" s="397">
        <v>275</v>
      </c>
      <c r="W379" s="397">
        <v>390</v>
      </c>
      <c r="X379" s="397">
        <v>365</v>
      </c>
      <c r="Y379" s="399">
        <f>S379-('FMTC Main'!$E$22-U379)</f>
        <v>1856</v>
      </c>
      <c r="Z379" s="399">
        <f>T379-('FMTC Main'!$E$27-V379)</f>
        <v>1882</v>
      </c>
      <c r="AA379" s="400" t="str">
        <f>A379&amp;" "&amp;B379&amp;" "&amp;C379</f>
        <v>2010 Mercedes-Benz CL 65 AMG</v>
      </c>
    </row>
    <row r="380" spans="1:27" ht="12.95" customHeight="1">
      <c r="A380" s="394">
        <v>2003</v>
      </c>
      <c r="B380" s="394" t="s">
        <v>381</v>
      </c>
      <c r="C380" s="394" t="s">
        <v>1069</v>
      </c>
      <c r="D380" s="395">
        <v>100000</v>
      </c>
      <c r="E380" s="394" t="s">
        <v>349</v>
      </c>
      <c r="F380" s="394">
        <v>517</v>
      </c>
      <c r="G380" s="396">
        <v>9</v>
      </c>
      <c r="H380" s="396">
        <v>4.9000000000000004</v>
      </c>
      <c r="I380" s="396">
        <v>7.6</v>
      </c>
      <c r="J380" s="396">
        <v>7.1</v>
      </c>
      <c r="K380" s="396">
        <v>4.9000000000000004</v>
      </c>
      <c r="L380" s="394" t="s">
        <v>1093</v>
      </c>
      <c r="M380" s="394"/>
      <c r="N380" s="389">
        <f>AVERAGE(H380,I380,K380)</f>
        <v>5.8</v>
      </c>
      <c r="O380" s="397">
        <v>3635</v>
      </c>
      <c r="P380" s="398">
        <v>1740</v>
      </c>
      <c r="Q380" s="397">
        <v>1414</v>
      </c>
      <c r="R380" s="397">
        <v>2715</v>
      </c>
      <c r="S380" s="397">
        <v>1495</v>
      </c>
      <c r="T380" s="397">
        <v>1474</v>
      </c>
      <c r="U380" s="397">
        <v>225</v>
      </c>
      <c r="V380" s="397">
        <v>245</v>
      </c>
      <c r="W380" s="397">
        <v>345</v>
      </c>
      <c r="X380" s="397">
        <v>300</v>
      </c>
      <c r="Y380" s="399">
        <f>S380-('FMTC Main'!$E$22-U380)</f>
        <v>1720</v>
      </c>
      <c r="Z380" s="399">
        <f>T380-('FMTC Main'!$E$27-V380)</f>
        <v>1719</v>
      </c>
      <c r="AA380" s="400" t="str">
        <f>A380&amp;" "&amp;B380&amp;" "&amp;C380</f>
        <v>2003 Mercedes-Benz CLK55 AMG Coupe</v>
      </c>
    </row>
    <row r="381" spans="1:27" ht="12.95" customHeight="1">
      <c r="A381" s="394">
        <v>2010</v>
      </c>
      <c r="B381" s="394" t="s">
        <v>381</v>
      </c>
      <c r="C381" s="394" t="s">
        <v>1070</v>
      </c>
      <c r="D381" s="395">
        <v>1200000</v>
      </c>
      <c r="E381" s="394" t="s">
        <v>1091</v>
      </c>
      <c r="F381" s="394">
        <v>834</v>
      </c>
      <c r="G381" s="396">
        <v>6.9</v>
      </c>
      <c r="H381" s="396">
        <v>8.6999999999999993</v>
      </c>
      <c r="I381" s="396">
        <v>9.1</v>
      </c>
      <c r="J381" s="396">
        <v>7.9</v>
      </c>
      <c r="K381" s="396">
        <v>8.8000000000000007</v>
      </c>
      <c r="L381" s="394" t="s">
        <v>1093</v>
      </c>
      <c r="M381" s="394"/>
      <c r="N381" s="389">
        <f>AVERAGE(H381,I381,K381)</f>
        <v>8.8666666666666654</v>
      </c>
      <c r="O381" s="397">
        <v>4167</v>
      </c>
      <c r="P381" s="398">
        <v>1997</v>
      </c>
      <c r="Q381" s="397">
        <v>1406</v>
      </c>
      <c r="R381" s="397">
        <v>2760</v>
      </c>
      <c r="S381" s="397">
        <v>1549</v>
      </c>
      <c r="T381" s="397">
        <v>1552</v>
      </c>
      <c r="U381" s="397">
        <v>255</v>
      </c>
      <c r="V381" s="397">
        <v>285</v>
      </c>
      <c r="W381" s="397">
        <v>360</v>
      </c>
      <c r="X381" s="397">
        <v>330</v>
      </c>
      <c r="Y381" s="399">
        <f>S381-('FMTC Main'!$E$22-U381)</f>
        <v>1804</v>
      </c>
      <c r="Z381" s="399">
        <f>T381-('FMTC Main'!$E$27-V381)</f>
        <v>1837</v>
      </c>
      <c r="AA381" s="400" t="str">
        <f>A381&amp;" "&amp;B381&amp;" "&amp;C381</f>
        <v>2010 Mercedes-Benz E 63 AMG</v>
      </c>
    </row>
    <row r="382" spans="1:27" ht="12.95" customHeight="1">
      <c r="A382" s="394">
        <v>2008</v>
      </c>
      <c r="B382" s="394" t="s">
        <v>381</v>
      </c>
      <c r="C382" s="394" t="s">
        <v>1067</v>
      </c>
      <c r="D382" s="395">
        <v>60000</v>
      </c>
      <c r="E382" s="394" t="s">
        <v>349</v>
      </c>
      <c r="F382" s="394">
        <v>507</v>
      </c>
      <c r="G382" s="396">
        <v>8.1999999999999993</v>
      </c>
      <c r="H382" s="396">
        <v>4.8</v>
      </c>
      <c r="I382" s="396">
        <v>7.7</v>
      </c>
      <c r="J382" s="396">
        <v>7</v>
      </c>
      <c r="K382" s="396">
        <v>4.8</v>
      </c>
      <c r="L382" s="394" t="s">
        <v>1093</v>
      </c>
      <c r="M382" s="394"/>
      <c r="N382" s="389">
        <f>AVERAGE(H382,I382,K382)</f>
        <v>5.7666666666666666</v>
      </c>
      <c r="O382" s="397">
        <v>2315</v>
      </c>
      <c r="P382" s="398">
        <v>1845</v>
      </c>
      <c r="Q382" s="397">
        <v>1255</v>
      </c>
      <c r="R382" s="397">
        <v>2795</v>
      </c>
      <c r="S382" s="397">
        <v>1570</v>
      </c>
      <c r="T382" s="397">
        <v>1524</v>
      </c>
      <c r="U382" s="397">
        <v>265</v>
      </c>
      <c r="V382" s="397">
        <v>280</v>
      </c>
      <c r="W382" s="397">
        <v>361</v>
      </c>
      <c r="X382" s="397">
        <v>330</v>
      </c>
      <c r="Y382" s="399">
        <f>S382-('FMTC Main'!$E$22-U382)</f>
        <v>1835</v>
      </c>
      <c r="Z382" s="399">
        <f>T382-('FMTC Main'!$E$27-V382)</f>
        <v>1804</v>
      </c>
      <c r="AA382" s="400" t="str">
        <f>A382&amp;" "&amp;B382&amp;" "&amp;C382</f>
        <v>2008 Mercedes-Benz Mercedes-AMG C-Class Touring Car</v>
      </c>
    </row>
    <row r="383" spans="1:27" ht="12.95" customHeight="1">
      <c r="A383" s="394">
        <v>2009</v>
      </c>
      <c r="B383" s="394" t="s">
        <v>381</v>
      </c>
      <c r="C383" s="394" t="s">
        <v>1071</v>
      </c>
      <c r="D383" s="395">
        <v>80000</v>
      </c>
      <c r="E383" s="394" t="s">
        <v>1088</v>
      </c>
      <c r="F383" s="394">
        <v>444</v>
      </c>
      <c r="G383" s="396">
        <v>6.6</v>
      </c>
      <c r="H383" s="396">
        <v>3.6</v>
      </c>
      <c r="I383" s="396">
        <v>7</v>
      </c>
      <c r="J383" s="396">
        <v>7.8</v>
      </c>
      <c r="K383" s="396">
        <v>3.8</v>
      </c>
      <c r="L383" s="394" t="s">
        <v>1093</v>
      </c>
      <c r="M383" s="394"/>
      <c r="N383" s="389">
        <f>AVERAGE(H383,I383,K383)</f>
        <v>4.8</v>
      </c>
      <c r="O383" s="397">
        <v>5039</v>
      </c>
      <c r="P383" s="398">
        <v>1951</v>
      </c>
      <c r="Q383" s="397">
        <v>1863</v>
      </c>
      <c r="R383" s="397">
        <v>2921</v>
      </c>
      <c r="S383" s="397">
        <v>1665</v>
      </c>
      <c r="T383" s="397">
        <v>1652</v>
      </c>
      <c r="U383" s="397">
        <v>295</v>
      </c>
      <c r="V383" s="397">
        <v>295</v>
      </c>
      <c r="W383" s="397">
        <v>390</v>
      </c>
      <c r="X383" s="397">
        <v>365</v>
      </c>
      <c r="Y383" s="399">
        <f>S383-('FMTC Main'!$E$22-U383)</f>
        <v>1960</v>
      </c>
      <c r="Z383" s="399">
        <f>T383-('FMTC Main'!$E$27-V383)</f>
        <v>1947</v>
      </c>
      <c r="AA383" s="400" t="str">
        <f>A383&amp;" "&amp;B383&amp;" "&amp;C383</f>
        <v>2009 Mercedes-Benz ML 63 AMG</v>
      </c>
    </row>
    <row r="384" spans="1:27" ht="12.95" customHeight="1">
      <c r="A384" s="394">
        <v>2009</v>
      </c>
      <c r="B384" s="394" t="s">
        <v>381</v>
      </c>
      <c r="C384" s="394" t="s">
        <v>1072</v>
      </c>
      <c r="D384" s="395">
        <v>280000</v>
      </c>
      <c r="E384" s="394" t="s">
        <v>349</v>
      </c>
      <c r="F384" s="394">
        <v>556</v>
      </c>
      <c r="G384" s="396">
        <v>8.6</v>
      </c>
      <c r="H384" s="396">
        <v>5.4</v>
      </c>
      <c r="I384" s="396">
        <v>8</v>
      </c>
      <c r="J384" s="396">
        <v>7.3</v>
      </c>
      <c r="K384" s="396">
        <v>5.2</v>
      </c>
      <c r="L384" s="394" t="s">
        <v>1093</v>
      </c>
      <c r="M384" s="394"/>
      <c r="N384" s="389">
        <f>AVERAGE(H384,I384,K384)</f>
        <v>6.2</v>
      </c>
      <c r="O384" s="397">
        <v>4215</v>
      </c>
      <c r="P384" s="398">
        <v>1802</v>
      </c>
      <c r="Q384" s="397">
        <v>1298</v>
      </c>
      <c r="R384" s="397">
        <v>2560</v>
      </c>
      <c r="S384" s="397">
        <v>1684</v>
      </c>
      <c r="T384" s="397">
        <v>1658</v>
      </c>
      <c r="U384" s="397">
        <v>265</v>
      </c>
      <c r="V384" s="397">
        <v>325</v>
      </c>
      <c r="W384" s="397">
        <v>391</v>
      </c>
      <c r="X384" s="397">
        <v>360</v>
      </c>
      <c r="Y384" s="399">
        <f>S384-('FMTC Main'!$E$22-U384)</f>
        <v>1949</v>
      </c>
      <c r="Z384" s="399">
        <f>T384-('FMTC Main'!$E$27-V384)</f>
        <v>1983</v>
      </c>
      <c r="AA384" s="400" t="str">
        <f>A384&amp;" "&amp;B384&amp;" "&amp;C384</f>
        <v>2009 Mercedes-Benz SL 65 AMG Black Series</v>
      </c>
    </row>
    <row r="385" spans="1:27" ht="12.95" customHeight="1">
      <c r="A385" s="394">
        <v>2010</v>
      </c>
      <c r="B385" s="394" t="s">
        <v>381</v>
      </c>
      <c r="C385" s="394" t="s">
        <v>705</v>
      </c>
      <c r="D385" s="395">
        <v>58000</v>
      </c>
      <c r="E385" s="394" t="s">
        <v>349</v>
      </c>
      <c r="F385" s="394">
        <v>507</v>
      </c>
      <c r="G385" s="396">
        <v>7.6</v>
      </c>
      <c r="H385" s="396">
        <v>5</v>
      </c>
      <c r="I385" s="396">
        <v>7.6</v>
      </c>
      <c r="J385" s="396">
        <v>7.3</v>
      </c>
      <c r="K385" s="396">
        <v>4.9000000000000004</v>
      </c>
      <c r="L385" s="394" t="s">
        <v>1093</v>
      </c>
      <c r="M385" s="394"/>
      <c r="N385" s="389">
        <f>AVERAGE(H385,I385,K385)</f>
        <v>5.833333333333333</v>
      </c>
      <c r="O385" s="397">
        <v>3472</v>
      </c>
      <c r="P385" s="398">
        <v>2006</v>
      </c>
      <c r="Q385" s="397">
        <v>1287</v>
      </c>
      <c r="R385" s="397">
        <v>2430</v>
      </c>
      <c r="S385" s="397">
        <v>1549</v>
      </c>
      <c r="T385" s="397">
        <v>1567</v>
      </c>
      <c r="U385" s="397">
        <v>225</v>
      </c>
      <c r="V385" s="397">
        <v>245</v>
      </c>
      <c r="W385" s="397">
        <v>360</v>
      </c>
      <c r="X385" s="397">
        <v>330</v>
      </c>
      <c r="Y385" s="399">
        <f>S385-('FMTC Main'!$E$22-U385)</f>
        <v>1774</v>
      </c>
      <c r="Z385" s="399">
        <f>T385-('FMTC Main'!$E$27-V385)</f>
        <v>1812</v>
      </c>
      <c r="AA385" s="400" t="str">
        <f>A385&amp;" "&amp;B385&amp;" "&amp;C385</f>
        <v>2010 Mercedes-Benz SLK 55 AMG</v>
      </c>
    </row>
    <row r="386" spans="1:27" ht="12.95" customHeight="1">
      <c r="A386" s="394">
        <v>2005</v>
      </c>
      <c r="B386" s="394" t="s">
        <v>381</v>
      </c>
      <c r="C386" s="394" t="s">
        <v>214</v>
      </c>
      <c r="D386" s="395">
        <v>300000</v>
      </c>
      <c r="E386" s="394" t="s">
        <v>1092</v>
      </c>
      <c r="F386" s="394">
        <v>616</v>
      </c>
      <c r="G386" s="396">
        <v>9.5</v>
      </c>
      <c r="H386" s="396">
        <v>5.7</v>
      </c>
      <c r="I386" s="396">
        <v>8.5</v>
      </c>
      <c r="J386" s="396">
        <v>7.5</v>
      </c>
      <c r="K386" s="396">
        <v>5.7</v>
      </c>
      <c r="L386" s="394" t="s">
        <v>1093</v>
      </c>
      <c r="M386" s="394"/>
      <c r="N386" s="389">
        <f>AVERAGE(H386,I386,K386)</f>
        <v>6.6333333333333329</v>
      </c>
      <c r="O386" s="397">
        <v>3860</v>
      </c>
      <c r="P386" s="398">
        <v>1908</v>
      </c>
      <c r="Q386" s="397">
        <v>1251</v>
      </c>
      <c r="R386" s="397">
        <v>2700</v>
      </c>
      <c r="S386" s="397">
        <v>1638</v>
      </c>
      <c r="T386" s="397">
        <v>1569</v>
      </c>
      <c r="U386" s="397">
        <v>255</v>
      </c>
      <c r="V386" s="397">
        <v>295</v>
      </c>
      <c r="W386" s="397">
        <v>390</v>
      </c>
      <c r="X386" s="397">
        <v>360</v>
      </c>
      <c r="Y386" s="399">
        <f>S386-('FMTC Main'!$E$22-U386)</f>
        <v>1893</v>
      </c>
      <c r="Z386" s="399">
        <f>T386-('FMTC Main'!$E$27-V386)</f>
        <v>1864</v>
      </c>
      <c r="AA386" s="400" t="str">
        <f>A386&amp;" "&amp;B386&amp;" "&amp;C386</f>
        <v>2005 Mercedes-Benz SLR</v>
      </c>
    </row>
    <row r="387" spans="1:27" ht="12.95" customHeight="1">
      <c r="A387" s="394">
        <v>2010</v>
      </c>
      <c r="B387" s="394" t="s">
        <v>381</v>
      </c>
      <c r="C387" s="394" t="s">
        <v>568</v>
      </c>
      <c r="D387" s="395">
        <v>1000000</v>
      </c>
      <c r="E387" s="394" t="s">
        <v>1092</v>
      </c>
      <c r="F387" s="394">
        <v>636</v>
      </c>
      <c r="G387" s="396">
        <v>9.6</v>
      </c>
      <c r="H387" s="396">
        <v>5.8</v>
      </c>
      <c r="I387" s="396">
        <v>8.5</v>
      </c>
      <c r="J387" s="396">
        <v>7.5</v>
      </c>
      <c r="K387" s="396">
        <v>5.7</v>
      </c>
      <c r="L387" s="394" t="s">
        <v>1093</v>
      </c>
      <c r="M387" s="394"/>
      <c r="N387" s="389">
        <f>AVERAGE(H387,I387,K387)</f>
        <v>6.666666666666667</v>
      </c>
      <c r="O387" s="397">
        <v>3419</v>
      </c>
      <c r="P387" s="398">
        <v>2194</v>
      </c>
      <c r="Q387" s="397">
        <v>1220</v>
      </c>
      <c r="R387" s="397">
        <v>2700</v>
      </c>
      <c r="S387" s="397">
        <v>1635</v>
      </c>
      <c r="T387" s="397">
        <v>1569</v>
      </c>
      <c r="U387" s="397">
        <v>255</v>
      </c>
      <c r="V387" s="397">
        <v>295</v>
      </c>
      <c r="W387" s="397">
        <v>370</v>
      </c>
      <c r="X387" s="397">
        <v>360</v>
      </c>
      <c r="Y387" s="399">
        <f>S387-('FMTC Main'!$E$22-U387)</f>
        <v>1890</v>
      </c>
      <c r="Z387" s="399">
        <f>T387-('FMTC Main'!$E$27-V387)</f>
        <v>1864</v>
      </c>
      <c r="AA387" s="400" t="str">
        <f>A387&amp;" "&amp;B387&amp;" "&amp;C387</f>
        <v>2010 Mercedes-Benz SLR Stirling Moss</v>
      </c>
    </row>
    <row r="388" spans="1:27" ht="12.95" customHeight="1">
      <c r="A388" s="394">
        <v>2011</v>
      </c>
      <c r="B388" s="394" t="s">
        <v>381</v>
      </c>
      <c r="C388" s="394" t="s">
        <v>707</v>
      </c>
      <c r="D388" s="395">
        <v>250000</v>
      </c>
      <c r="E388" s="394" t="s">
        <v>1092</v>
      </c>
      <c r="F388" s="394">
        <v>609</v>
      </c>
      <c r="G388" s="396">
        <v>9.1</v>
      </c>
      <c r="H388" s="396">
        <v>5.6</v>
      </c>
      <c r="I388" s="396">
        <v>8.6</v>
      </c>
      <c r="J388" s="396">
        <v>7.9</v>
      </c>
      <c r="K388" s="396">
        <v>5.6</v>
      </c>
      <c r="L388" s="394" t="s">
        <v>1093</v>
      </c>
      <c r="M388" s="394"/>
      <c r="N388" s="389">
        <f>AVERAGE(H388,I388,K388)</f>
        <v>6.5999999999999988</v>
      </c>
      <c r="O388" s="397">
        <v>3571</v>
      </c>
      <c r="P388" s="398">
        <v>1939</v>
      </c>
      <c r="Q388" s="397">
        <v>1262</v>
      </c>
      <c r="R388" s="397">
        <v>2680</v>
      </c>
      <c r="S388" s="397">
        <v>1682</v>
      </c>
      <c r="T388" s="397">
        <v>1651</v>
      </c>
      <c r="U388" s="397">
        <v>265</v>
      </c>
      <c r="V388" s="397">
        <v>295</v>
      </c>
      <c r="W388" s="397">
        <v>402</v>
      </c>
      <c r="X388" s="397">
        <v>360</v>
      </c>
      <c r="Y388" s="399">
        <f>S388-('FMTC Main'!$E$22-U388)</f>
        <v>1947</v>
      </c>
      <c r="Z388" s="399">
        <f>T388-('FMTC Main'!$E$27-V388)</f>
        <v>1946</v>
      </c>
      <c r="AA388" s="400" t="str">
        <f>A388&amp;" "&amp;B388&amp;" "&amp;C388</f>
        <v>2011 Mercedes-Benz SLS AMG</v>
      </c>
    </row>
    <row r="389" spans="1:27" ht="12.95" customHeight="1">
      <c r="A389" s="394">
        <v>1970</v>
      </c>
      <c r="B389" s="394" t="s">
        <v>923</v>
      </c>
      <c r="C389" s="394" t="s">
        <v>924</v>
      </c>
      <c r="D389" s="395">
        <v>48000</v>
      </c>
      <c r="E389" s="394" t="s">
        <v>1085</v>
      </c>
      <c r="F389" s="394">
        <v>325</v>
      </c>
      <c r="G389" s="396">
        <v>3</v>
      </c>
      <c r="H389" s="396">
        <v>3.9</v>
      </c>
      <c r="I389" s="396">
        <v>6.9</v>
      </c>
      <c r="J389" s="396">
        <v>5.7</v>
      </c>
      <c r="K389" s="396">
        <v>3.8</v>
      </c>
      <c r="L389" s="394" t="s">
        <v>1075</v>
      </c>
      <c r="M389" s="394"/>
      <c r="N389" s="389">
        <f>AVERAGE(H389,I389,K389)</f>
        <v>4.8666666666666671</v>
      </c>
      <c r="O389" s="397">
        <v>3435</v>
      </c>
      <c r="P389" s="398">
        <v>1887</v>
      </c>
      <c r="Q389" s="397">
        <v>1486</v>
      </c>
      <c r="R389" s="397">
        <v>2573</v>
      </c>
      <c r="S389" s="397">
        <v>1468</v>
      </c>
      <c r="T389" s="397">
        <v>1468</v>
      </c>
      <c r="U389" s="397">
        <v>215</v>
      </c>
      <c r="V389" s="397">
        <v>215</v>
      </c>
      <c r="W389" s="397">
        <v>287</v>
      </c>
      <c r="X389" s="397">
        <v>286</v>
      </c>
      <c r="Y389" s="399">
        <f>S389-('FMTC Main'!$E$22-U389)</f>
        <v>1683</v>
      </c>
      <c r="Z389" s="399">
        <f>T389-('FMTC Main'!$E$27-V389)</f>
        <v>1683</v>
      </c>
      <c r="AA389" s="400" t="str">
        <f>A389&amp;" "&amp;B389&amp;" "&amp;C389</f>
        <v>1970 Mercury Cougar Eliminator</v>
      </c>
    </row>
    <row r="390" spans="1:27" ht="12.95" customHeight="1">
      <c r="A390" s="394">
        <v>2009</v>
      </c>
      <c r="B390" s="394" t="s">
        <v>925</v>
      </c>
      <c r="C390" s="394" t="s">
        <v>926</v>
      </c>
      <c r="D390" s="395">
        <v>27000</v>
      </c>
      <c r="E390" s="394" t="s">
        <v>1087</v>
      </c>
      <c r="F390" s="394">
        <v>389</v>
      </c>
      <c r="G390" s="396">
        <v>4.7</v>
      </c>
      <c r="H390" s="396">
        <v>4.2</v>
      </c>
      <c r="I390" s="396">
        <v>6.4</v>
      </c>
      <c r="J390" s="396">
        <v>6.4</v>
      </c>
      <c r="K390" s="396">
        <v>4.2</v>
      </c>
      <c r="L390" s="394" t="s">
        <v>1093</v>
      </c>
      <c r="M390" s="394"/>
      <c r="N390" s="389">
        <f>AVERAGE(H390,I390,K390)</f>
        <v>4.9333333333333336</v>
      </c>
      <c r="O390" s="397">
        <v>2701</v>
      </c>
      <c r="P390" s="398">
        <v>1683</v>
      </c>
      <c r="Q390" s="397">
        <v>1407</v>
      </c>
      <c r="R390" s="397">
        <v>2467</v>
      </c>
      <c r="S390" s="397">
        <v>1453</v>
      </c>
      <c r="T390" s="397">
        <v>1461</v>
      </c>
      <c r="U390" s="397">
        <v>205</v>
      </c>
      <c r="V390" s="397">
        <v>205</v>
      </c>
      <c r="W390" s="397">
        <v>316</v>
      </c>
      <c r="X390" s="397">
        <v>280</v>
      </c>
      <c r="Y390" s="399">
        <f>S390-('FMTC Main'!$E$22-U390)</f>
        <v>1658</v>
      </c>
      <c r="Z390" s="399">
        <f>T390-('FMTC Main'!$E$27-V390)</f>
        <v>1666</v>
      </c>
      <c r="AA390" s="400" t="str">
        <f>A390&amp;" "&amp;B390&amp;" "&amp;C390</f>
        <v>2009 Mini Cooper John Cooper Works</v>
      </c>
    </row>
    <row r="391" spans="1:27" ht="12.95" customHeight="1">
      <c r="A391" s="394">
        <v>2003</v>
      </c>
      <c r="B391" s="394" t="s">
        <v>925</v>
      </c>
      <c r="C391" s="394" t="s">
        <v>215</v>
      </c>
      <c r="D391" s="395"/>
      <c r="E391" s="394" t="s">
        <v>1087</v>
      </c>
      <c r="F391" s="394">
        <v>381</v>
      </c>
      <c r="G391" s="396">
        <v>4.8</v>
      </c>
      <c r="H391" s="396">
        <v>4.2</v>
      </c>
      <c r="I391" s="396">
        <v>6.2</v>
      </c>
      <c r="J391" s="396">
        <v>6.2</v>
      </c>
      <c r="K391" s="396">
        <v>4.2</v>
      </c>
      <c r="L391" s="394" t="s">
        <v>1093</v>
      </c>
      <c r="M391" s="394"/>
      <c r="N391" s="389">
        <f>AVERAGE(H391,I391,K391)</f>
        <v>4.8666666666666671</v>
      </c>
      <c r="O391" s="397">
        <v>2730</v>
      </c>
      <c r="P391" s="398">
        <v>1683</v>
      </c>
      <c r="Q391" s="397">
        <v>1427</v>
      </c>
      <c r="R391" s="397">
        <v>2466</v>
      </c>
      <c r="S391" s="397">
        <v>1453</v>
      </c>
      <c r="T391" s="397">
        <v>1461</v>
      </c>
      <c r="U391" s="397">
        <v>195</v>
      </c>
      <c r="V391" s="397">
        <v>195</v>
      </c>
      <c r="W391" s="397">
        <v>276</v>
      </c>
      <c r="X391" s="397">
        <v>259</v>
      </c>
      <c r="Y391" s="399">
        <f>S391-('FMTC Main'!$E$22-U391)</f>
        <v>1648</v>
      </c>
      <c r="Z391" s="399">
        <f>T391-('FMTC Main'!$E$27-V391)</f>
        <v>1656</v>
      </c>
      <c r="AA391" s="400" t="str">
        <f>A391&amp;" "&amp;B391&amp;" "&amp;C391</f>
        <v>2003 Mini Cooper S</v>
      </c>
    </row>
    <row r="392" spans="1:27" ht="12.95" customHeight="1">
      <c r="A392" s="394">
        <v>2011</v>
      </c>
      <c r="B392" s="394" t="s">
        <v>925</v>
      </c>
      <c r="C392" s="394" t="s">
        <v>1114</v>
      </c>
      <c r="D392" s="395">
        <v>12000</v>
      </c>
      <c r="E392" s="394" t="s">
        <v>1085</v>
      </c>
      <c r="F392" s="394">
        <v>315</v>
      </c>
      <c r="G392" s="396">
        <v>4.0999999999999996</v>
      </c>
      <c r="H392" s="396">
        <v>4.5999999999999996</v>
      </c>
      <c r="I392" s="396">
        <v>5.4</v>
      </c>
      <c r="J392" s="396">
        <v>5.7</v>
      </c>
      <c r="K392" s="396">
        <v>4.5</v>
      </c>
      <c r="L392" s="394" t="s">
        <v>1093</v>
      </c>
      <c r="M392" s="394" t="s">
        <v>1090</v>
      </c>
      <c r="N392" s="389">
        <f>AVERAGE(H392,I392,K392)</f>
        <v>4.833333333333333</v>
      </c>
      <c r="O392" s="397">
        <v>2730</v>
      </c>
      <c r="P392" s="398">
        <v>1684</v>
      </c>
      <c r="Q392" s="397">
        <v>1432</v>
      </c>
      <c r="R392" s="397">
        <v>2547</v>
      </c>
      <c r="S392" s="397">
        <v>1453</v>
      </c>
      <c r="T392" s="397">
        <v>1461</v>
      </c>
      <c r="U392" s="397">
        <v>205</v>
      </c>
      <c r="V392" s="397">
        <v>205</v>
      </c>
      <c r="W392" s="397">
        <v>316</v>
      </c>
      <c r="X392" s="397">
        <v>280</v>
      </c>
      <c r="Y392" s="399">
        <f>S392-('FMTC Main'!$E$22-U392)</f>
        <v>1658</v>
      </c>
      <c r="Z392" s="399">
        <f>T392-('FMTC Main'!$E$27-V392)</f>
        <v>1666</v>
      </c>
      <c r="AA392" s="400" t="str">
        <f>A392&amp;" "&amp;B392&amp;" "&amp;C392</f>
        <v xml:space="preserve">2011 Mini John Cooper Works Clubman </v>
      </c>
    </row>
    <row r="393" spans="1:27" ht="12.95" customHeight="1">
      <c r="A393" s="394">
        <v>2010</v>
      </c>
      <c r="B393" s="394" t="s">
        <v>216</v>
      </c>
      <c r="C393" s="394" t="s">
        <v>708</v>
      </c>
      <c r="D393" s="395">
        <v>22000</v>
      </c>
      <c r="E393" s="394" t="s">
        <v>1085</v>
      </c>
      <c r="F393" s="394">
        <v>307</v>
      </c>
      <c r="G393" s="396">
        <v>3.1</v>
      </c>
      <c r="H393" s="396">
        <v>4.5</v>
      </c>
      <c r="I393" s="396">
        <v>5.7</v>
      </c>
      <c r="J393" s="396">
        <v>6</v>
      </c>
      <c r="K393" s="396">
        <v>4.5</v>
      </c>
      <c r="L393" s="394" t="s">
        <v>1103</v>
      </c>
      <c r="M393" s="394"/>
      <c r="N393" s="389">
        <f>AVERAGE(H393,I393,K393)</f>
        <v>4.8999999999999995</v>
      </c>
      <c r="O393" s="397">
        <v>2337</v>
      </c>
      <c r="P393" s="398">
        <v>1695</v>
      </c>
      <c r="Q393" s="397">
        <v>1550</v>
      </c>
      <c r="R393" s="397">
        <v>2500</v>
      </c>
      <c r="S393" s="397">
        <v>1460</v>
      </c>
      <c r="T393" s="397">
        <v>1445</v>
      </c>
      <c r="U393" s="397">
        <v>205</v>
      </c>
      <c r="V393" s="397">
        <v>205</v>
      </c>
      <c r="W393" s="397">
        <v>279</v>
      </c>
      <c r="X393" s="397">
        <v>249</v>
      </c>
      <c r="Y393" s="399">
        <f>S393-('FMTC Main'!$E$22-U393)</f>
        <v>1665</v>
      </c>
      <c r="Z393" s="399">
        <f>T393-('FMTC Main'!$E$27-V393)</f>
        <v>1650</v>
      </c>
      <c r="AA393" s="400" t="str">
        <f>A393&amp;" "&amp;B393&amp;" "&amp;C393</f>
        <v>2010 Mitsubishi Colt Ralliart</v>
      </c>
    </row>
    <row r="394" spans="1:27" ht="12.95" customHeight="1">
      <c r="A394" s="394">
        <v>1995</v>
      </c>
      <c r="B394" s="394" t="s">
        <v>216</v>
      </c>
      <c r="C394" s="394" t="s">
        <v>293</v>
      </c>
      <c r="D394" s="395">
        <v>6000</v>
      </c>
      <c r="E394" s="394" t="s">
        <v>1087</v>
      </c>
      <c r="F394" s="394">
        <v>358</v>
      </c>
      <c r="G394" s="396">
        <v>5.5</v>
      </c>
      <c r="H394" s="396">
        <v>4.7</v>
      </c>
      <c r="I394" s="396">
        <v>5.4</v>
      </c>
      <c r="J394" s="396">
        <v>6</v>
      </c>
      <c r="K394" s="396">
        <v>4.5</v>
      </c>
      <c r="L394" s="394" t="s">
        <v>1103</v>
      </c>
      <c r="M394" s="394"/>
      <c r="N394" s="389">
        <f>AVERAGE(H394,I394,K394)</f>
        <v>4.8666666666666671</v>
      </c>
      <c r="O394" s="397">
        <v>3199</v>
      </c>
      <c r="P394" s="398">
        <v>1745</v>
      </c>
      <c r="Q394" s="397">
        <v>1283</v>
      </c>
      <c r="R394" s="397">
        <v>2510</v>
      </c>
      <c r="S394" s="397">
        <v>1514</v>
      </c>
      <c r="T394" s="397">
        <v>1509</v>
      </c>
      <c r="U394" s="397">
        <v>215</v>
      </c>
      <c r="V394" s="397">
        <v>215</v>
      </c>
      <c r="W394" s="397">
        <v>276</v>
      </c>
      <c r="X394" s="397">
        <v>262</v>
      </c>
      <c r="Y394" s="399">
        <f>S394-('FMTC Main'!$E$22-U394)</f>
        <v>1729</v>
      </c>
      <c r="Z394" s="399">
        <f>T394-('FMTC Main'!$E$27-V394)</f>
        <v>1724</v>
      </c>
      <c r="AA394" s="400" t="str">
        <f>A394&amp;" "&amp;B394&amp;" "&amp;C394</f>
        <v>1995 Mitsubishi Eclipse GSX</v>
      </c>
    </row>
    <row r="395" spans="1:27" ht="12.95" customHeight="1">
      <c r="A395" s="394">
        <v>2006</v>
      </c>
      <c r="B395" s="394" t="s">
        <v>216</v>
      </c>
      <c r="C395" s="394" t="s">
        <v>217</v>
      </c>
      <c r="D395" s="395">
        <v>11000</v>
      </c>
      <c r="E395" s="394" t="s">
        <v>1087</v>
      </c>
      <c r="F395" s="394">
        <v>352</v>
      </c>
      <c r="G395" s="396">
        <v>5</v>
      </c>
      <c r="H395" s="396">
        <v>4.7</v>
      </c>
      <c r="I395" s="396">
        <v>5.9</v>
      </c>
      <c r="J395" s="396">
        <v>6</v>
      </c>
      <c r="K395" s="396">
        <v>4.5</v>
      </c>
      <c r="L395" s="394" t="s">
        <v>1103</v>
      </c>
      <c r="M395" s="394"/>
      <c r="N395" s="389">
        <f>AVERAGE(H395,I395,K395)</f>
        <v>5.0333333333333341</v>
      </c>
      <c r="O395" s="397">
        <v>3470</v>
      </c>
      <c r="P395" s="398">
        <v>1834</v>
      </c>
      <c r="Q395" s="397">
        <v>1359</v>
      </c>
      <c r="R395" s="397">
        <v>2576</v>
      </c>
      <c r="S395" s="397">
        <v>1570</v>
      </c>
      <c r="T395" s="397">
        <v>1570</v>
      </c>
      <c r="U395" s="397">
        <v>235</v>
      </c>
      <c r="V395" s="397">
        <v>235</v>
      </c>
      <c r="W395" s="397">
        <v>294</v>
      </c>
      <c r="X395" s="397">
        <v>284</v>
      </c>
      <c r="Y395" s="399">
        <f>S395-('FMTC Main'!$E$22-U395)</f>
        <v>1805</v>
      </c>
      <c r="Z395" s="399">
        <f>T395-('FMTC Main'!$E$27-V395)</f>
        <v>1805</v>
      </c>
      <c r="AA395" s="400" t="str">
        <f>A395&amp;" "&amp;B395&amp;" "&amp;C395</f>
        <v>2006 Mitsubishi Eclipse GT</v>
      </c>
    </row>
    <row r="396" spans="1:27" ht="12.95" customHeight="1">
      <c r="A396" s="394">
        <v>2003</v>
      </c>
      <c r="B396" s="394" t="s">
        <v>216</v>
      </c>
      <c r="C396" s="394" t="s">
        <v>294</v>
      </c>
      <c r="D396" s="395">
        <v>7000</v>
      </c>
      <c r="E396" s="394" t="s">
        <v>1083</v>
      </c>
      <c r="F396" s="394">
        <v>249</v>
      </c>
      <c r="G396" s="396">
        <v>4.3</v>
      </c>
      <c r="H396" s="396">
        <v>4.4000000000000004</v>
      </c>
      <c r="I396" s="396">
        <v>4.9000000000000004</v>
      </c>
      <c r="J396" s="396">
        <v>5.0999999999999996</v>
      </c>
      <c r="K396" s="396">
        <v>4.3</v>
      </c>
      <c r="L396" s="394" t="s">
        <v>1103</v>
      </c>
      <c r="M396" s="394"/>
      <c r="N396" s="389">
        <f>AVERAGE(H396,I396,K396)</f>
        <v>4.5333333333333341</v>
      </c>
      <c r="O396" s="397">
        <v>3241</v>
      </c>
      <c r="P396" s="398">
        <v>1751</v>
      </c>
      <c r="Q396" s="397">
        <v>1336</v>
      </c>
      <c r="R396" s="397">
        <v>2560</v>
      </c>
      <c r="S396" s="397">
        <v>1510</v>
      </c>
      <c r="T396" s="397">
        <v>1510</v>
      </c>
      <c r="U396" s="397">
        <v>215</v>
      </c>
      <c r="V396" s="397">
        <v>215</v>
      </c>
      <c r="W396" s="397">
        <v>276</v>
      </c>
      <c r="X396" s="397">
        <v>262</v>
      </c>
      <c r="Y396" s="399">
        <f>S396-('FMTC Main'!$E$22-U396)</f>
        <v>1725</v>
      </c>
      <c r="Z396" s="399">
        <f>T396-('FMTC Main'!$E$27-V396)</f>
        <v>1725</v>
      </c>
      <c r="AA396" s="400" t="str">
        <f>A396&amp;" "&amp;B396&amp;" "&amp;C396</f>
        <v>2003 Mitsubishi Eclipse GTS</v>
      </c>
    </row>
    <row r="397" spans="1:27" ht="12.95" customHeight="1">
      <c r="A397" s="394">
        <v>1998</v>
      </c>
      <c r="B397" s="394" t="s">
        <v>216</v>
      </c>
      <c r="C397" s="394" t="s">
        <v>295</v>
      </c>
      <c r="D397" s="395">
        <v>6000</v>
      </c>
      <c r="E397" s="394" t="s">
        <v>1085</v>
      </c>
      <c r="F397" s="394">
        <v>350</v>
      </c>
      <c r="G397" s="396">
        <v>4.9000000000000004</v>
      </c>
      <c r="H397" s="396">
        <v>4.7</v>
      </c>
      <c r="I397" s="396">
        <v>5.6</v>
      </c>
      <c r="J397" s="396">
        <v>6.1</v>
      </c>
      <c r="K397" s="396">
        <v>4.5</v>
      </c>
      <c r="L397" s="394" t="s">
        <v>1103</v>
      </c>
      <c r="M397" s="394"/>
      <c r="N397" s="389">
        <f>AVERAGE(H397,I397,K397)</f>
        <v>4.9333333333333336</v>
      </c>
      <c r="O397" s="397">
        <v>2535</v>
      </c>
      <c r="P397" s="398">
        <v>1735</v>
      </c>
      <c r="Q397" s="397">
        <v>1300</v>
      </c>
      <c r="R397" s="397">
        <v>2500</v>
      </c>
      <c r="S397" s="397">
        <v>1490</v>
      </c>
      <c r="T397" s="397">
        <v>1485</v>
      </c>
      <c r="U397" s="397">
        <v>205</v>
      </c>
      <c r="V397" s="397">
        <v>205</v>
      </c>
      <c r="W397" s="397">
        <v>381</v>
      </c>
      <c r="X397" s="397">
        <v>356</v>
      </c>
      <c r="Y397" s="399">
        <f>S397-('FMTC Main'!$E$22-U397)</f>
        <v>1695</v>
      </c>
      <c r="Z397" s="399">
        <f>T397-('FMTC Main'!$E$27-V397)</f>
        <v>1690</v>
      </c>
      <c r="AA397" s="400" t="str">
        <f>A397&amp;" "&amp;B397&amp;" "&amp;C397</f>
        <v>1998 Mitsubishi FTO GP Version R</v>
      </c>
    </row>
    <row r="398" spans="1:27" ht="12.95" customHeight="1">
      <c r="A398" s="394">
        <v>1997</v>
      </c>
      <c r="B398" s="394" t="s">
        <v>216</v>
      </c>
      <c r="C398" s="394" t="s">
        <v>153</v>
      </c>
      <c r="D398" s="395">
        <v>8000</v>
      </c>
      <c r="E398" s="394" t="s">
        <v>1088</v>
      </c>
      <c r="F398" s="394">
        <v>446</v>
      </c>
      <c r="G398" s="396">
        <v>6.2</v>
      </c>
      <c r="H398" s="396">
        <v>4.9000000000000004</v>
      </c>
      <c r="I398" s="396">
        <v>6.1</v>
      </c>
      <c r="J398" s="396">
        <v>7</v>
      </c>
      <c r="K398" s="396">
        <v>4.7</v>
      </c>
      <c r="L398" s="394" t="s">
        <v>1103</v>
      </c>
      <c r="M398" s="394"/>
      <c r="N398" s="389">
        <f>AVERAGE(H398,I398,K398)</f>
        <v>5.2333333333333334</v>
      </c>
      <c r="O398" s="397">
        <v>3704</v>
      </c>
      <c r="P398" s="398">
        <v>1840</v>
      </c>
      <c r="Q398" s="397">
        <v>1285</v>
      </c>
      <c r="R398" s="397">
        <v>2470</v>
      </c>
      <c r="S398" s="397">
        <v>1560</v>
      </c>
      <c r="T398" s="397">
        <v>1580</v>
      </c>
      <c r="U398" s="397">
        <v>245</v>
      </c>
      <c r="V398" s="397">
        <v>245</v>
      </c>
      <c r="W398" s="397">
        <v>314</v>
      </c>
      <c r="X398" s="397">
        <v>297</v>
      </c>
      <c r="Y398" s="399">
        <f>S398-('FMTC Main'!$E$22-U398)</f>
        <v>1805</v>
      </c>
      <c r="Z398" s="399">
        <f>T398-('FMTC Main'!$E$27-V398)</f>
        <v>1825</v>
      </c>
      <c r="AA398" s="400" t="str">
        <f>A398&amp;" "&amp;B398&amp;" "&amp;C398</f>
        <v>1997 Mitsubishi GTO</v>
      </c>
    </row>
    <row r="399" spans="1:27" ht="12.95" customHeight="1">
      <c r="A399" s="394">
        <v>2006</v>
      </c>
      <c r="B399" s="394" t="s">
        <v>216</v>
      </c>
      <c r="C399" s="394" t="s">
        <v>1112</v>
      </c>
      <c r="D399" s="395">
        <v>12000</v>
      </c>
      <c r="E399" s="394" t="s">
        <v>1088</v>
      </c>
      <c r="F399" s="394">
        <v>457</v>
      </c>
      <c r="G399" s="396">
        <v>5.0999999999999996</v>
      </c>
      <c r="H399" s="396">
        <v>5.0999999999999996</v>
      </c>
      <c r="I399" s="396">
        <v>6.6</v>
      </c>
      <c r="J399" s="396">
        <v>7.5</v>
      </c>
      <c r="K399" s="396">
        <v>5</v>
      </c>
      <c r="L399" s="394" t="s">
        <v>1103</v>
      </c>
      <c r="M399" s="394" t="s">
        <v>1096</v>
      </c>
      <c r="N399" s="389">
        <f>AVERAGE(H399,I399,K399)</f>
        <v>5.5666666666666664</v>
      </c>
      <c r="O399" s="397">
        <v>2359</v>
      </c>
      <c r="P399" s="398">
        <v>1770</v>
      </c>
      <c r="Q399" s="397">
        <v>1450</v>
      </c>
      <c r="R399" s="397">
        <v>2625</v>
      </c>
      <c r="S399" s="397">
        <v>1515</v>
      </c>
      <c r="T399" s="397">
        <v>1515</v>
      </c>
      <c r="U399" s="397">
        <v>265</v>
      </c>
      <c r="V399" s="397">
        <v>265</v>
      </c>
      <c r="W399" s="397">
        <v>320</v>
      </c>
      <c r="X399" s="397">
        <v>300</v>
      </c>
      <c r="Y399" s="399">
        <f>S399-('FMTC Main'!$E$22-U399)</f>
        <v>1780</v>
      </c>
      <c r="Z399" s="399">
        <f>T399-('FMTC Main'!$E$27-V399)</f>
        <v>1780</v>
      </c>
      <c r="AA399" s="400" t="str">
        <f>A399&amp;" "&amp;B399&amp;" "&amp;C399</f>
        <v xml:space="preserve">2006 Mitsubishi HKS Time Attack Evolution CT230R </v>
      </c>
    </row>
    <row r="400" spans="1:27" ht="12.95" customHeight="1">
      <c r="A400" s="394">
        <v>2006</v>
      </c>
      <c r="B400" s="394" t="s">
        <v>216</v>
      </c>
      <c r="C400" s="394" t="s">
        <v>218</v>
      </c>
      <c r="D400" s="395"/>
      <c r="E400" s="394" t="s">
        <v>1094</v>
      </c>
      <c r="F400" s="394">
        <v>711</v>
      </c>
      <c r="G400" s="396">
        <v>6.2</v>
      </c>
      <c r="H400" s="396">
        <v>6.4</v>
      </c>
      <c r="I400" s="396">
        <v>9.5</v>
      </c>
      <c r="J400" s="396">
        <v>10</v>
      </c>
      <c r="K400" s="396">
        <v>6.4</v>
      </c>
      <c r="L400" s="394" t="s">
        <v>1103</v>
      </c>
      <c r="M400" s="394"/>
      <c r="N400" s="389">
        <f>AVERAGE(H400,I400,K400)</f>
        <v>7.4333333333333336</v>
      </c>
      <c r="O400" s="397">
        <v>3285</v>
      </c>
      <c r="P400" s="398">
        <v>1770</v>
      </c>
      <c r="Q400" s="397">
        <v>1450</v>
      </c>
      <c r="R400" s="397">
        <v>2625</v>
      </c>
      <c r="S400" s="397">
        <v>1515</v>
      </c>
      <c r="T400" s="397">
        <v>1515</v>
      </c>
      <c r="U400" s="397">
        <v>235</v>
      </c>
      <c r="V400" s="397">
        <v>235</v>
      </c>
      <c r="W400" s="397">
        <v>320</v>
      </c>
      <c r="X400" s="397">
        <v>300</v>
      </c>
      <c r="Y400" s="399">
        <f>S400-('FMTC Main'!$E$22-U400)</f>
        <v>1750</v>
      </c>
      <c r="Z400" s="399">
        <f>T400-('FMTC Main'!$E$27-V400)</f>
        <v>1750</v>
      </c>
      <c r="AA400" s="400" t="str">
        <f>A400&amp;" "&amp;B400&amp;" "&amp;C400</f>
        <v>2006 Mitsubishi Lancer Evolution IX MR</v>
      </c>
    </row>
    <row r="401" spans="1:27" ht="12.95" customHeight="1">
      <c r="A401" s="394">
        <v>1999</v>
      </c>
      <c r="B401" s="394" t="s">
        <v>216</v>
      </c>
      <c r="C401" s="394" t="s">
        <v>219</v>
      </c>
      <c r="D401" s="395">
        <v>21000</v>
      </c>
      <c r="E401" s="394" t="s">
        <v>1088</v>
      </c>
      <c r="F401" s="394">
        <v>480</v>
      </c>
      <c r="G401" s="396">
        <v>5.6</v>
      </c>
      <c r="H401" s="396">
        <v>5.2</v>
      </c>
      <c r="I401" s="396">
        <v>6.7</v>
      </c>
      <c r="J401" s="396">
        <v>7.6</v>
      </c>
      <c r="K401" s="396">
        <v>5.2</v>
      </c>
      <c r="L401" s="394" t="s">
        <v>1103</v>
      </c>
      <c r="M401" s="394"/>
      <c r="N401" s="389">
        <f>AVERAGE(H401,I401,K401)</f>
        <v>5.7</v>
      </c>
      <c r="O401" s="397">
        <v>2822</v>
      </c>
      <c r="P401" s="398">
        <v>1770</v>
      </c>
      <c r="Q401" s="397">
        <v>1415</v>
      </c>
      <c r="R401" s="397">
        <v>2510</v>
      </c>
      <c r="S401" s="397">
        <v>1510</v>
      </c>
      <c r="T401" s="397">
        <v>1505</v>
      </c>
      <c r="U401" s="397">
        <v>225</v>
      </c>
      <c r="V401" s="397">
        <v>225</v>
      </c>
      <c r="W401" s="397">
        <v>332</v>
      </c>
      <c r="X401" s="397">
        <v>306</v>
      </c>
      <c r="Y401" s="399">
        <f>S401-('FMTC Main'!$E$22-U401)</f>
        <v>1735</v>
      </c>
      <c r="Z401" s="399">
        <f>T401-('FMTC Main'!$E$27-V401)</f>
        <v>1730</v>
      </c>
      <c r="AA401" s="400" t="str">
        <f>A401&amp;" "&amp;B401&amp;" "&amp;C401</f>
        <v>1999 Mitsubishi Lancer Evolution VI GSR</v>
      </c>
    </row>
    <row r="402" spans="1:27" ht="12.95" customHeight="1">
      <c r="A402" s="394">
        <v>2004</v>
      </c>
      <c r="B402" s="394" t="s">
        <v>216</v>
      </c>
      <c r="C402" s="394" t="s">
        <v>220</v>
      </c>
      <c r="D402" s="395">
        <v>20000</v>
      </c>
      <c r="E402" s="394" t="s">
        <v>1088</v>
      </c>
      <c r="F402" s="394">
        <v>488</v>
      </c>
      <c r="G402" s="396">
        <v>5.6</v>
      </c>
      <c r="H402" s="396">
        <v>5.4</v>
      </c>
      <c r="I402" s="396">
        <v>6.7</v>
      </c>
      <c r="J402" s="396">
        <v>7.6</v>
      </c>
      <c r="K402" s="396">
        <v>5.3</v>
      </c>
      <c r="L402" s="394" t="s">
        <v>1103</v>
      </c>
      <c r="M402" s="394"/>
      <c r="N402" s="389">
        <f>AVERAGE(H402,I402,K402)</f>
        <v>5.8000000000000007</v>
      </c>
      <c r="O402" s="397">
        <v>3109</v>
      </c>
      <c r="P402" s="398">
        <v>1770</v>
      </c>
      <c r="Q402" s="397">
        <v>1450</v>
      </c>
      <c r="R402" s="397">
        <v>2616</v>
      </c>
      <c r="S402" s="397">
        <v>1515</v>
      </c>
      <c r="T402" s="397">
        <v>1515</v>
      </c>
      <c r="U402" s="397">
        <v>235</v>
      </c>
      <c r="V402" s="397">
        <v>235</v>
      </c>
      <c r="W402" s="397">
        <v>320</v>
      </c>
      <c r="X402" s="397">
        <v>300</v>
      </c>
      <c r="Y402" s="399">
        <f>S402-('FMTC Main'!$E$22-U402)</f>
        <v>1750</v>
      </c>
      <c r="Z402" s="399">
        <f>T402-('FMTC Main'!$E$27-V402)</f>
        <v>1750</v>
      </c>
      <c r="AA402" s="400" t="str">
        <f>A402&amp;" "&amp;B402&amp;" "&amp;C402</f>
        <v>2004 Mitsubishi Lancer Evolution VIII MR</v>
      </c>
    </row>
    <row r="403" spans="1:27" ht="12.95" customHeight="1">
      <c r="A403" s="394">
        <v>2008</v>
      </c>
      <c r="B403" s="394" t="s">
        <v>216</v>
      </c>
      <c r="C403" s="394" t="s">
        <v>221</v>
      </c>
      <c r="D403" s="395">
        <v>29000</v>
      </c>
      <c r="E403" s="394" t="s">
        <v>1088</v>
      </c>
      <c r="F403" s="394">
        <v>476</v>
      </c>
      <c r="G403" s="396">
        <v>5.3</v>
      </c>
      <c r="H403" s="396">
        <v>5.0999999999999996</v>
      </c>
      <c r="I403" s="396">
        <v>6.6</v>
      </c>
      <c r="J403" s="396">
        <v>7.6</v>
      </c>
      <c r="K403" s="396">
        <v>5.0999999999999996</v>
      </c>
      <c r="L403" s="394" t="s">
        <v>1103</v>
      </c>
      <c r="M403" s="394"/>
      <c r="N403" s="389">
        <f>AVERAGE(H403,I403,K403)</f>
        <v>5.5999999999999988</v>
      </c>
      <c r="O403" s="397">
        <v>3395</v>
      </c>
      <c r="P403" s="398">
        <v>1810</v>
      </c>
      <c r="Q403" s="397">
        <v>1480</v>
      </c>
      <c r="R403" s="397">
        <v>2650</v>
      </c>
      <c r="S403" s="397">
        <v>1545</v>
      </c>
      <c r="T403" s="397">
        <v>1545</v>
      </c>
      <c r="U403" s="397">
        <v>245</v>
      </c>
      <c r="V403" s="397">
        <v>245</v>
      </c>
      <c r="W403" s="397">
        <v>350</v>
      </c>
      <c r="X403" s="397">
        <v>320</v>
      </c>
      <c r="Y403" s="399">
        <f>S403-('FMTC Main'!$E$22-U403)</f>
        <v>1790</v>
      </c>
      <c r="Z403" s="399">
        <f>T403-('FMTC Main'!$E$27-V403)</f>
        <v>1790</v>
      </c>
      <c r="AA403" s="400" t="str">
        <f>A403&amp;" "&amp;B403&amp;" "&amp;C403</f>
        <v>2008 Mitsubishi Lancer Evolution X GSR</v>
      </c>
    </row>
    <row r="404" spans="1:27" ht="12.95" customHeight="1">
      <c r="A404" s="394">
        <v>1988</v>
      </c>
      <c r="B404" s="394" t="s">
        <v>216</v>
      </c>
      <c r="C404" s="394" t="s">
        <v>927</v>
      </c>
      <c r="D404" s="395">
        <v>5000</v>
      </c>
      <c r="E404" s="394" t="s">
        <v>1085</v>
      </c>
      <c r="F404" s="394">
        <v>277</v>
      </c>
      <c r="G404" s="396">
        <v>4.2</v>
      </c>
      <c r="H404" s="396">
        <v>4.8</v>
      </c>
      <c r="I404" s="396">
        <v>5.2</v>
      </c>
      <c r="J404" s="396">
        <v>5.8</v>
      </c>
      <c r="K404" s="396">
        <v>4.7</v>
      </c>
      <c r="L404" s="394" t="s">
        <v>1103</v>
      </c>
      <c r="M404" s="394"/>
      <c r="N404" s="389">
        <f>AVERAGE(H404,I404,K404)</f>
        <v>4.8999999999999995</v>
      </c>
      <c r="O404" s="397">
        <v>3087</v>
      </c>
      <c r="P404" s="398">
        <v>1745</v>
      </c>
      <c r="Q404" s="397">
        <v>1315</v>
      </c>
      <c r="R404" s="397">
        <v>2435</v>
      </c>
      <c r="S404" s="397">
        <v>1465</v>
      </c>
      <c r="T404" s="397">
        <v>1455</v>
      </c>
      <c r="U404" s="397">
        <v>235</v>
      </c>
      <c r="V404" s="397">
        <v>255</v>
      </c>
      <c r="W404" s="397">
        <v>277</v>
      </c>
      <c r="X404" s="397">
        <v>267</v>
      </c>
      <c r="Y404" s="399">
        <f>S404-('FMTC Main'!$E$22-U404)</f>
        <v>1700</v>
      </c>
      <c r="Z404" s="399">
        <f>T404-('FMTC Main'!$E$27-V404)</f>
        <v>1710</v>
      </c>
      <c r="AA404" s="400" t="str">
        <f>A404&amp;" "&amp;B404&amp;" "&amp;C404</f>
        <v>1988 Mitsubishi Starion ESI-R</v>
      </c>
    </row>
    <row r="405" spans="1:27" ht="12.95" customHeight="1">
      <c r="A405" s="394">
        <v>2010</v>
      </c>
      <c r="B405" s="394" t="s">
        <v>928</v>
      </c>
      <c r="C405" s="394" t="s">
        <v>929</v>
      </c>
      <c r="D405" s="395">
        <v>160000</v>
      </c>
      <c r="E405" s="394" t="s">
        <v>349</v>
      </c>
      <c r="F405" s="394">
        <v>520</v>
      </c>
      <c r="G405" s="396">
        <v>7.1</v>
      </c>
      <c r="H405" s="396">
        <v>5</v>
      </c>
      <c r="I405" s="396">
        <v>7.9</v>
      </c>
      <c r="J405" s="396">
        <v>7.2</v>
      </c>
      <c r="K405" s="396">
        <v>4.9000000000000004</v>
      </c>
      <c r="L405" s="394" t="s">
        <v>1076</v>
      </c>
      <c r="M405" s="394"/>
      <c r="N405" s="389">
        <f>AVERAGE(H405,I405,K405)</f>
        <v>5.9333333333333336</v>
      </c>
      <c r="O405" s="397">
        <v>2740</v>
      </c>
      <c r="P405" s="398">
        <v>1750</v>
      </c>
      <c r="Q405" s="397">
        <v>1349</v>
      </c>
      <c r="R405" s="397">
        <v>2550</v>
      </c>
      <c r="S405" s="397">
        <v>1575</v>
      </c>
      <c r="T405" s="397">
        <v>1612</v>
      </c>
      <c r="U405" s="397">
        <v>225</v>
      </c>
      <c r="V405" s="397">
        <v>245</v>
      </c>
      <c r="W405" s="397">
        <v>350</v>
      </c>
      <c r="X405" s="397">
        <v>332</v>
      </c>
      <c r="Y405" s="399">
        <f>S405-('FMTC Main'!$E$22-U405)</f>
        <v>1800</v>
      </c>
      <c r="Z405" s="399">
        <f>T405-('FMTC Main'!$E$27-V405)</f>
        <v>1857</v>
      </c>
      <c r="AA405" s="400" t="str">
        <f>A405&amp;" "&amp;B405&amp;" "&amp;C405</f>
        <v>2010 Morgan Aero Supersports</v>
      </c>
    </row>
    <row r="406" spans="1:27" ht="12.95" customHeight="1">
      <c r="A406" s="394">
        <v>2010</v>
      </c>
      <c r="B406" s="394" t="s">
        <v>930</v>
      </c>
      <c r="C406" s="394" t="s">
        <v>709</v>
      </c>
      <c r="D406" s="395">
        <v>320000</v>
      </c>
      <c r="E406" s="394" t="s">
        <v>1094</v>
      </c>
      <c r="F406" s="394">
        <v>727</v>
      </c>
      <c r="G406" s="396">
        <v>8.5</v>
      </c>
      <c r="H406" s="396">
        <v>7.2</v>
      </c>
      <c r="I406" s="396">
        <v>9</v>
      </c>
      <c r="J406" s="396">
        <v>8.6</v>
      </c>
      <c r="K406" s="396">
        <v>7.1</v>
      </c>
      <c r="L406" s="394" t="s">
        <v>1075</v>
      </c>
      <c r="M406" s="394"/>
      <c r="N406" s="389">
        <f>AVERAGE(H406,I406,K406)</f>
        <v>7.7666666666666657</v>
      </c>
      <c r="O406" s="397">
        <v>2481</v>
      </c>
      <c r="P406" s="398">
        <v>2007</v>
      </c>
      <c r="Q406" s="397">
        <v>1104</v>
      </c>
      <c r="R406" s="397">
        <v>2769</v>
      </c>
      <c r="S406" s="397">
        <v>1676</v>
      </c>
      <c r="T406" s="397">
        <v>1676</v>
      </c>
      <c r="U406" s="397">
        <v>265</v>
      </c>
      <c r="V406" s="397">
        <v>335</v>
      </c>
      <c r="W406" s="397">
        <v>356</v>
      </c>
      <c r="X406" s="397">
        <v>356</v>
      </c>
      <c r="Y406" s="399">
        <f>S406-('FMTC Main'!$E$22-U406)</f>
        <v>1941</v>
      </c>
      <c r="Z406" s="399">
        <f>T406-('FMTC Main'!$E$27-V406)</f>
        <v>2011</v>
      </c>
      <c r="AA406" s="400" t="str">
        <f>A406&amp;" "&amp;B406&amp;" "&amp;C406</f>
        <v>2010 Mosler MT900S</v>
      </c>
    </row>
    <row r="407" spans="1:27" ht="12.95" customHeight="1">
      <c r="A407" s="394">
        <v>2010</v>
      </c>
      <c r="B407" s="394" t="s">
        <v>222</v>
      </c>
      <c r="C407" s="394" t="s">
        <v>935</v>
      </c>
      <c r="D407" s="395">
        <v>1500000</v>
      </c>
      <c r="E407" s="394" t="s">
        <v>1091</v>
      </c>
      <c r="F407" s="394">
        <v>859</v>
      </c>
      <c r="G407" s="396">
        <v>7.4</v>
      </c>
      <c r="H407" s="396">
        <v>9.1</v>
      </c>
      <c r="I407" s="396">
        <v>9.1</v>
      </c>
      <c r="J407" s="396">
        <v>8</v>
      </c>
      <c r="K407" s="396">
        <v>9.1</v>
      </c>
      <c r="L407" s="394" t="s">
        <v>1103</v>
      </c>
      <c r="M407" s="394"/>
      <c r="N407" s="389">
        <f>AVERAGE(H407,I407,K407)</f>
        <v>9.1</v>
      </c>
      <c r="O407" s="397">
        <v>2425</v>
      </c>
      <c r="P407" s="398">
        <v>2000</v>
      </c>
      <c r="Q407" s="397">
        <v>1280</v>
      </c>
      <c r="R407" s="397">
        <v>2720</v>
      </c>
      <c r="S407" s="397">
        <v>1685</v>
      </c>
      <c r="T407" s="397">
        <v>1675</v>
      </c>
      <c r="U407" s="397">
        <v>330</v>
      </c>
      <c r="V407" s="397">
        <v>330</v>
      </c>
      <c r="W407" s="397">
        <v>380</v>
      </c>
      <c r="X407" s="397">
        <v>355</v>
      </c>
      <c r="Y407" s="399">
        <f>S407-('FMTC Main'!$E$22-U407)</f>
        <v>2015</v>
      </c>
      <c r="Z407" s="399">
        <f>T407-('FMTC Main'!$E$27-V407)</f>
        <v>2005</v>
      </c>
      <c r="AA407" s="400" t="str">
        <f>A407&amp;" "&amp;B407&amp;" "&amp;C407</f>
        <v>2010 Nissan #12 Calsonic Impul GT-R</v>
      </c>
    </row>
    <row r="408" spans="1:27" ht="12.95" customHeight="1">
      <c r="A408" s="394">
        <v>2003</v>
      </c>
      <c r="B408" s="394" t="s">
        <v>222</v>
      </c>
      <c r="C408" s="394" t="s">
        <v>933</v>
      </c>
      <c r="D408" s="395">
        <v>1500000</v>
      </c>
      <c r="E408" s="394" t="s">
        <v>1091</v>
      </c>
      <c r="F408" s="394">
        <v>858</v>
      </c>
      <c r="G408" s="396">
        <v>7.2</v>
      </c>
      <c r="H408" s="396">
        <v>9</v>
      </c>
      <c r="I408" s="396">
        <v>9.1</v>
      </c>
      <c r="J408" s="396">
        <v>7.8</v>
      </c>
      <c r="K408" s="396">
        <v>9</v>
      </c>
      <c r="L408" s="394" t="s">
        <v>1103</v>
      </c>
      <c r="M408" s="394"/>
      <c r="N408" s="389">
        <f>AVERAGE(H408,I408,K408)</f>
        <v>9.0333333333333332</v>
      </c>
      <c r="O408" s="397">
        <v>2535</v>
      </c>
      <c r="P408" s="398">
        <v>1885</v>
      </c>
      <c r="Q408" s="397">
        <v>1140</v>
      </c>
      <c r="R408" s="397">
        <v>2665</v>
      </c>
      <c r="S408" s="397">
        <v>1560</v>
      </c>
      <c r="T408" s="397">
        <v>1535</v>
      </c>
      <c r="U408" s="397">
        <v>330</v>
      </c>
      <c r="V408" s="397">
        <v>330</v>
      </c>
      <c r="W408" s="397">
        <v>380</v>
      </c>
      <c r="X408" s="397">
        <v>355</v>
      </c>
      <c r="Y408" s="399">
        <f>S408-('FMTC Main'!$E$22-U408)</f>
        <v>1890</v>
      </c>
      <c r="Z408" s="399">
        <f>T408-('FMTC Main'!$E$27-V408)</f>
        <v>1865</v>
      </c>
      <c r="AA408" s="400" t="str">
        <f>A408&amp;" "&amp;B408&amp;" "&amp;C408</f>
        <v>2003 Nissan #12 Calsonic Skyline</v>
      </c>
    </row>
    <row r="409" spans="1:27" ht="12.95" customHeight="1">
      <c r="A409" s="394">
        <v>2008</v>
      </c>
      <c r="B409" s="394" t="s">
        <v>222</v>
      </c>
      <c r="C409" s="394" t="s">
        <v>936</v>
      </c>
      <c r="D409" s="395">
        <v>1500000</v>
      </c>
      <c r="E409" s="394" t="s">
        <v>1091</v>
      </c>
      <c r="F409" s="394">
        <v>859</v>
      </c>
      <c r="G409" s="396">
        <v>7.4</v>
      </c>
      <c r="H409" s="396">
        <v>9.1</v>
      </c>
      <c r="I409" s="396">
        <v>9.1</v>
      </c>
      <c r="J409" s="396">
        <v>8</v>
      </c>
      <c r="K409" s="396">
        <v>9.1</v>
      </c>
      <c r="L409" s="394" t="s">
        <v>1103</v>
      </c>
      <c r="M409" s="394"/>
      <c r="N409" s="389">
        <f>AVERAGE(H409,I409,K409)</f>
        <v>9.1</v>
      </c>
      <c r="O409" s="397">
        <v>2425</v>
      </c>
      <c r="P409" s="398">
        <v>2000</v>
      </c>
      <c r="Q409" s="397">
        <v>1539</v>
      </c>
      <c r="R409" s="397">
        <v>2720</v>
      </c>
      <c r="S409" s="397">
        <v>1685</v>
      </c>
      <c r="T409" s="397">
        <v>1675</v>
      </c>
      <c r="U409" s="397">
        <v>330</v>
      </c>
      <c r="V409" s="397">
        <v>330</v>
      </c>
      <c r="W409" s="397">
        <v>380</v>
      </c>
      <c r="X409" s="397">
        <v>355</v>
      </c>
      <c r="Y409" s="399">
        <f>S409-('FMTC Main'!$E$22-U409)</f>
        <v>2015</v>
      </c>
      <c r="Z409" s="399">
        <f>T409-('FMTC Main'!$E$27-V409)</f>
        <v>2005</v>
      </c>
      <c r="AA409" s="400" t="str">
        <f>A409&amp;" "&amp;B409&amp;" "&amp;C409</f>
        <v>2008 Nissan #23 Xanavi Nismo GT-R</v>
      </c>
    </row>
    <row r="410" spans="1:27" ht="12.95" customHeight="1">
      <c r="A410" s="394">
        <v>2008</v>
      </c>
      <c r="B410" s="394" t="s">
        <v>222</v>
      </c>
      <c r="C410" s="394" t="s">
        <v>937</v>
      </c>
      <c r="D410" s="395">
        <v>1500000</v>
      </c>
      <c r="E410" s="394" t="s">
        <v>1091</v>
      </c>
      <c r="F410" s="394">
        <v>859</v>
      </c>
      <c r="G410" s="396">
        <v>7.4</v>
      </c>
      <c r="H410" s="396">
        <v>9.1</v>
      </c>
      <c r="I410" s="396">
        <v>9.1</v>
      </c>
      <c r="J410" s="396">
        <v>8</v>
      </c>
      <c r="K410" s="396">
        <v>9.1</v>
      </c>
      <c r="L410" s="394" t="s">
        <v>1103</v>
      </c>
      <c r="M410" s="394"/>
      <c r="N410" s="389">
        <f>AVERAGE(H410,I410,K410)</f>
        <v>9.1</v>
      </c>
      <c r="O410" s="397">
        <v>2425</v>
      </c>
      <c r="P410" s="398">
        <v>2000</v>
      </c>
      <c r="Q410" s="397">
        <v>1539</v>
      </c>
      <c r="R410" s="397">
        <v>2720</v>
      </c>
      <c r="S410" s="397">
        <v>1685</v>
      </c>
      <c r="T410" s="397">
        <v>1675</v>
      </c>
      <c r="U410" s="397">
        <v>330</v>
      </c>
      <c r="V410" s="397">
        <v>330</v>
      </c>
      <c r="W410" s="397">
        <v>380</v>
      </c>
      <c r="X410" s="397">
        <v>355</v>
      </c>
      <c r="Y410" s="399">
        <f>S410-('FMTC Main'!$E$22-U410)</f>
        <v>2015</v>
      </c>
      <c r="Z410" s="399">
        <f>T410-('FMTC Main'!$E$27-V410)</f>
        <v>2005</v>
      </c>
      <c r="AA410" s="400" t="str">
        <f>A410&amp;" "&amp;B410&amp;" "&amp;C410</f>
        <v>2008 Nissan #24 Woodone Advan Clarion GT-R</v>
      </c>
    </row>
    <row r="411" spans="1:27" ht="12.95" customHeight="1">
      <c r="A411" s="394">
        <v>2003</v>
      </c>
      <c r="B411" s="394" t="s">
        <v>222</v>
      </c>
      <c r="C411" s="394" t="s">
        <v>934</v>
      </c>
      <c r="D411" s="395">
        <v>900000</v>
      </c>
      <c r="E411" s="394" t="s">
        <v>1094</v>
      </c>
      <c r="F411" s="394">
        <v>736</v>
      </c>
      <c r="G411" s="396">
        <v>6.3</v>
      </c>
      <c r="H411" s="396">
        <v>8.3000000000000007</v>
      </c>
      <c r="I411" s="396">
        <v>8.4</v>
      </c>
      <c r="J411" s="396">
        <v>7.8</v>
      </c>
      <c r="K411" s="396">
        <v>8.3000000000000007</v>
      </c>
      <c r="L411" s="394" t="s">
        <v>1103</v>
      </c>
      <c r="M411" s="394"/>
      <c r="N411" s="389">
        <f>AVERAGE(H411,I411,K411)</f>
        <v>8.3333333333333339</v>
      </c>
      <c r="O411" s="397">
        <v>2524</v>
      </c>
      <c r="P411" s="398">
        <v>1915</v>
      </c>
      <c r="Q411" s="397">
        <v>1235</v>
      </c>
      <c r="R411" s="397">
        <v>2650</v>
      </c>
      <c r="S411" s="397">
        <v>1630</v>
      </c>
      <c r="T411" s="397">
        <v>1630</v>
      </c>
      <c r="U411" s="397">
        <v>280</v>
      </c>
      <c r="V411" s="397">
        <v>280</v>
      </c>
      <c r="W411" s="397">
        <v>380</v>
      </c>
      <c r="X411" s="397">
        <v>355</v>
      </c>
      <c r="Y411" s="399">
        <f>S411-('FMTC Main'!$E$22-U411)</f>
        <v>1910</v>
      </c>
      <c r="Z411" s="399">
        <f>T411-('FMTC Main'!$E$27-V411)</f>
        <v>1910</v>
      </c>
      <c r="AA411" s="400" t="str">
        <f>A411&amp;" "&amp;B411&amp;" "&amp;C411</f>
        <v>2003 Nissan #3 Hasemisport Endless Z</v>
      </c>
    </row>
    <row r="412" spans="1:27" ht="12.95" customHeight="1">
      <c r="A412" s="394">
        <v>2008</v>
      </c>
      <c r="B412" s="394" t="s">
        <v>222</v>
      </c>
      <c r="C412" s="394" t="s">
        <v>938</v>
      </c>
      <c r="D412" s="395">
        <v>1500000</v>
      </c>
      <c r="E412" s="394" t="s">
        <v>1091</v>
      </c>
      <c r="F412" s="394">
        <v>859</v>
      </c>
      <c r="G412" s="396">
        <v>7.4</v>
      </c>
      <c r="H412" s="396">
        <v>9.1</v>
      </c>
      <c r="I412" s="396">
        <v>9.1</v>
      </c>
      <c r="J412" s="396">
        <v>8</v>
      </c>
      <c r="K412" s="396">
        <v>9.1</v>
      </c>
      <c r="L412" s="394" t="s">
        <v>1103</v>
      </c>
      <c r="M412" s="394"/>
      <c r="N412" s="389">
        <f>AVERAGE(H412,I412,K412)</f>
        <v>9.1</v>
      </c>
      <c r="O412" s="397">
        <v>2425</v>
      </c>
      <c r="P412" s="398">
        <v>2000</v>
      </c>
      <c r="Q412" s="397">
        <v>1539</v>
      </c>
      <c r="R412" s="397">
        <v>2720</v>
      </c>
      <c r="S412" s="397">
        <v>1685</v>
      </c>
      <c r="T412" s="397">
        <v>1675</v>
      </c>
      <c r="U412" s="397">
        <v>330</v>
      </c>
      <c r="V412" s="397">
        <v>330</v>
      </c>
      <c r="W412" s="397">
        <v>380</v>
      </c>
      <c r="X412" s="397">
        <v>355</v>
      </c>
      <c r="Y412" s="399">
        <f>S412-('FMTC Main'!$E$22-U412)</f>
        <v>2015</v>
      </c>
      <c r="Z412" s="399">
        <f>T412-('FMTC Main'!$E$27-V412)</f>
        <v>2005</v>
      </c>
      <c r="AA412" s="400" t="str">
        <f>A412&amp;" "&amp;B412&amp;" "&amp;C412</f>
        <v>2008 Nissan #3 YellowHat YMS Tomica GT-R</v>
      </c>
    </row>
    <row r="413" spans="1:27" ht="12.95" customHeight="1">
      <c r="A413" s="394">
        <v>1998</v>
      </c>
      <c r="B413" s="394" t="s">
        <v>222</v>
      </c>
      <c r="C413" s="394" t="s">
        <v>932</v>
      </c>
      <c r="D413" s="395">
        <v>1500000</v>
      </c>
      <c r="E413" s="394" t="s">
        <v>1091</v>
      </c>
      <c r="F413" s="394">
        <v>859</v>
      </c>
      <c r="G413" s="396">
        <v>7.7</v>
      </c>
      <c r="H413" s="396">
        <v>8.5</v>
      </c>
      <c r="I413" s="396">
        <v>9.3000000000000007</v>
      </c>
      <c r="J413" s="396">
        <v>8.3000000000000007</v>
      </c>
      <c r="K413" s="396">
        <v>8.5</v>
      </c>
      <c r="L413" s="394" t="s">
        <v>1103</v>
      </c>
      <c r="M413" s="394"/>
      <c r="N413" s="389">
        <f>AVERAGE(H413,I413,K413)</f>
        <v>8.7666666666666675</v>
      </c>
      <c r="O413" s="397">
        <v>2205</v>
      </c>
      <c r="P413" s="398">
        <v>2000</v>
      </c>
      <c r="Q413" s="397">
        <v>1140</v>
      </c>
      <c r="R413" s="397">
        <v>2720</v>
      </c>
      <c r="S413" s="397">
        <v>1710</v>
      </c>
      <c r="T413" s="397">
        <v>1640</v>
      </c>
      <c r="U413" s="397">
        <v>280</v>
      </c>
      <c r="V413" s="397">
        <v>330</v>
      </c>
      <c r="W413" s="397">
        <v>380</v>
      </c>
      <c r="X413" s="397">
        <v>355</v>
      </c>
      <c r="Y413" s="399">
        <f>S413-('FMTC Main'!$E$22-U413)</f>
        <v>1990</v>
      </c>
      <c r="Z413" s="399">
        <f>T413-('FMTC Main'!$E$27-V413)</f>
        <v>1970</v>
      </c>
      <c r="AA413" s="400" t="str">
        <f>A413&amp;" "&amp;B413&amp;" "&amp;C413</f>
        <v>1998 Nissan #32 Nissan R390 GT1</v>
      </c>
    </row>
    <row r="414" spans="1:27" ht="12.95" customHeight="1">
      <c r="A414" s="394">
        <v>2005</v>
      </c>
      <c r="B414" s="394" t="s">
        <v>222</v>
      </c>
      <c r="C414" s="394" t="s">
        <v>296</v>
      </c>
      <c r="D414" s="395">
        <v>900000</v>
      </c>
      <c r="E414" s="394" t="s">
        <v>1094</v>
      </c>
      <c r="F414" s="394">
        <v>736</v>
      </c>
      <c r="G414" s="396">
        <v>6.3</v>
      </c>
      <c r="H414" s="396">
        <v>8.3000000000000007</v>
      </c>
      <c r="I414" s="396">
        <v>8.4</v>
      </c>
      <c r="J414" s="396">
        <v>7.8</v>
      </c>
      <c r="K414" s="396">
        <v>8.3000000000000007</v>
      </c>
      <c r="L414" s="394" t="s">
        <v>1103</v>
      </c>
      <c r="M414" s="394"/>
      <c r="N414" s="389">
        <f>AVERAGE(H414,I414,K414)</f>
        <v>8.3333333333333339</v>
      </c>
      <c r="O414" s="397">
        <v>2524</v>
      </c>
      <c r="P414" s="398">
        <v>1915</v>
      </c>
      <c r="Q414" s="397">
        <v>1235</v>
      </c>
      <c r="R414" s="397">
        <v>2650</v>
      </c>
      <c r="S414" s="397">
        <v>1630</v>
      </c>
      <c r="T414" s="397">
        <v>1630</v>
      </c>
      <c r="U414" s="397">
        <v>280</v>
      </c>
      <c r="V414" s="397">
        <v>280</v>
      </c>
      <c r="W414" s="397">
        <v>380</v>
      </c>
      <c r="X414" s="397">
        <v>355</v>
      </c>
      <c r="Y414" s="399">
        <f>S414-('FMTC Main'!$E$22-U414)</f>
        <v>1910</v>
      </c>
      <c r="Z414" s="399">
        <f>T414-('FMTC Main'!$E$27-V414)</f>
        <v>1910</v>
      </c>
      <c r="AA414" s="400" t="str">
        <f>A414&amp;" "&amp;B414&amp;" "&amp;C414</f>
        <v>2005 Nissan #46 Dream Cube's ADVAN Z</v>
      </c>
    </row>
    <row r="415" spans="1:27" ht="12.95" customHeight="1">
      <c r="A415" s="394">
        <v>1994</v>
      </c>
      <c r="B415" s="394" t="s">
        <v>222</v>
      </c>
      <c r="C415" s="394" t="s">
        <v>931</v>
      </c>
      <c r="D415" s="395">
        <v>7000</v>
      </c>
      <c r="E415" s="394" t="s">
        <v>1083</v>
      </c>
      <c r="F415" s="394">
        <v>235</v>
      </c>
      <c r="G415" s="396">
        <v>4.0999999999999996</v>
      </c>
      <c r="H415" s="396">
        <v>4.7</v>
      </c>
      <c r="I415" s="396">
        <v>4.8</v>
      </c>
      <c r="J415" s="396">
        <v>5.2</v>
      </c>
      <c r="K415" s="396">
        <v>4.5</v>
      </c>
      <c r="L415" s="394" t="s">
        <v>1103</v>
      </c>
      <c r="M415" s="394"/>
      <c r="N415" s="389">
        <f>AVERAGE(H415,I415,K415)</f>
        <v>4.666666666666667</v>
      </c>
      <c r="O415" s="397">
        <v>2915</v>
      </c>
      <c r="P415" s="398">
        <v>1690</v>
      </c>
      <c r="Q415" s="397">
        <v>1290</v>
      </c>
      <c r="R415" s="397">
        <v>2475</v>
      </c>
      <c r="S415" s="397">
        <v>1465</v>
      </c>
      <c r="T415" s="397">
        <v>1460</v>
      </c>
      <c r="U415" s="397">
        <v>205</v>
      </c>
      <c r="V415" s="397">
        <v>205</v>
      </c>
      <c r="W415" s="397">
        <v>257</v>
      </c>
      <c r="X415" s="397">
        <v>257</v>
      </c>
      <c r="Y415" s="399">
        <f>S415-('FMTC Main'!$E$22-U415)</f>
        <v>1670</v>
      </c>
      <c r="Z415" s="399">
        <f>T415-('FMTC Main'!$E$27-V415)</f>
        <v>1665</v>
      </c>
      <c r="AA415" s="400" t="str">
        <f>A415&amp;" "&amp;B415&amp;" "&amp;C415</f>
        <v>1994 Nissan 240SX SE</v>
      </c>
    </row>
    <row r="416" spans="1:27" ht="12.95" customHeight="1">
      <c r="A416" s="394">
        <v>2010</v>
      </c>
      <c r="B416" s="394" t="s">
        <v>222</v>
      </c>
      <c r="C416" s="394" t="s">
        <v>223</v>
      </c>
      <c r="D416" s="395">
        <v>34000</v>
      </c>
      <c r="E416" s="394" t="s">
        <v>349</v>
      </c>
      <c r="F416" s="394">
        <v>501</v>
      </c>
      <c r="G416" s="396">
        <v>7.1</v>
      </c>
      <c r="H416" s="396">
        <v>5.4</v>
      </c>
      <c r="I416" s="396">
        <v>7.1</v>
      </c>
      <c r="J416" s="396">
        <v>7.4</v>
      </c>
      <c r="K416" s="396">
        <v>5.3</v>
      </c>
      <c r="L416" s="394" t="s">
        <v>1103</v>
      </c>
      <c r="M416" s="394"/>
      <c r="N416" s="389">
        <f>AVERAGE(H416,I416,K416)</f>
        <v>5.9333333333333336</v>
      </c>
      <c r="O416" s="397">
        <v>3267</v>
      </c>
      <c r="P416" s="398">
        <v>1845</v>
      </c>
      <c r="Q416" s="397">
        <v>1315</v>
      </c>
      <c r="R416" s="397">
        <v>2550</v>
      </c>
      <c r="S416" s="397">
        <v>1550</v>
      </c>
      <c r="T416" s="397">
        <v>1595</v>
      </c>
      <c r="U416" s="397">
        <v>245</v>
      </c>
      <c r="V416" s="397">
        <v>275</v>
      </c>
      <c r="W416" s="397">
        <v>355</v>
      </c>
      <c r="X416" s="397">
        <v>350</v>
      </c>
      <c r="Y416" s="399">
        <f>S416-('FMTC Main'!$E$22-U416)</f>
        <v>1795</v>
      </c>
      <c r="Z416" s="399">
        <f>T416-('FMTC Main'!$E$27-V416)</f>
        <v>1870</v>
      </c>
      <c r="AA416" s="400" t="str">
        <f>A416&amp;" "&amp;B416&amp;" "&amp;C416</f>
        <v>2010 Nissan 370Z</v>
      </c>
    </row>
    <row r="417" spans="1:27" ht="12.95" customHeight="1">
      <c r="A417" s="394">
        <v>1970</v>
      </c>
      <c r="B417" s="394" t="s">
        <v>222</v>
      </c>
      <c r="C417" s="394" t="s">
        <v>224</v>
      </c>
      <c r="D417" s="395">
        <v>8000</v>
      </c>
      <c r="E417" s="394" t="s">
        <v>1099</v>
      </c>
      <c r="F417" s="394">
        <v>108</v>
      </c>
      <c r="G417" s="396">
        <v>3</v>
      </c>
      <c r="H417" s="396">
        <v>4.0999999999999996</v>
      </c>
      <c r="I417" s="396">
        <v>3.9</v>
      </c>
      <c r="J417" s="396">
        <v>4.4000000000000004</v>
      </c>
      <c r="K417" s="396">
        <v>4.2</v>
      </c>
      <c r="L417" s="394" t="s">
        <v>1103</v>
      </c>
      <c r="M417" s="394"/>
      <c r="N417" s="389">
        <f>AVERAGE(H417,I417,K417)</f>
        <v>4.0666666666666664</v>
      </c>
      <c r="O417" s="397">
        <v>2127</v>
      </c>
      <c r="P417" s="398">
        <v>1560</v>
      </c>
      <c r="Q417" s="397">
        <v>1402</v>
      </c>
      <c r="R417" s="397">
        <v>2416</v>
      </c>
      <c r="S417" s="397">
        <v>1270</v>
      </c>
      <c r="T417" s="397">
        <v>1270</v>
      </c>
      <c r="U417" s="397">
        <v>165</v>
      </c>
      <c r="V417" s="397">
        <v>165</v>
      </c>
      <c r="W417" s="397">
        <v>232</v>
      </c>
      <c r="X417" s="397">
        <v>229</v>
      </c>
      <c r="Y417" s="399">
        <f>S417-('FMTC Main'!$E$22-U417)</f>
        <v>1435</v>
      </c>
      <c r="Z417" s="399">
        <f>T417-('FMTC Main'!$E$27-V417)</f>
        <v>1435</v>
      </c>
      <c r="AA417" s="400" t="str">
        <f>A417&amp;" "&amp;B417&amp;" "&amp;C417</f>
        <v>1970 Nissan Datsun 510</v>
      </c>
    </row>
    <row r="418" spans="1:27" ht="12.95" customHeight="1">
      <c r="A418" s="394">
        <v>2003</v>
      </c>
      <c r="B418" s="394" t="s">
        <v>222</v>
      </c>
      <c r="C418" s="394" t="s">
        <v>1047</v>
      </c>
      <c r="D418" s="395">
        <v>14000</v>
      </c>
      <c r="E418" s="394" t="s">
        <v>1088</v>
      </c>
      <c r="F418" s="394">
        <v>434</v>
      </c>
      <c r="G418" s="396">
        <v>6.8</v>
      </c>
      <c r="H418" s="396">
        <v>4.9000000000000004</v>
      </c>
      <c r="I418" s="396">
        <v>6.6</v>
      </c>
      <c r="J418" s="396">
        <v>6.9</v>
      </c>
      <c r="K418" s="396">
        <v>4.8</v>
      </c>
      <c r="L418" s="394" t="s">
        <v>1103</v>
      </c>
      <c r="M418" s="394"/>
      <c r="N418" s="389">
        <f>AVERAGE(H418,I418,K418)</f>
        <v>5.4333333333333336</v>
      </c>
      <c r="O418" s="397">
        <v>3310</v>
      </c>
      <c r="P418" s="398">
        <v>1816</v>
      </c>
      <c r="Q418" s="397">
        <v>1318</v>
      </c>
      <c r="R418" s="397">
        <v>2641</v>
      </c>
      <c r="S418" s="397">
        <v>1534</v>
      </c>
      <c r="T418" s="397">
        <v>1544</v>
      </c>
      <c r="U418" s="397">
        <v>225</v>
      </c>
      <c r="V418" s="397">
        <v>235</v>
      </c>
      <c r="W418" s="397">
        <v>324</v>
      </c>
      <c r="X418" s="397">
        <v>322</v>
      </c>
      <c r="Y418" s="399">
        <f>S418-('FMTC Main'!$E$22-U418)</f>
        <v>1759</v>
      </c>
      <c r="Z418" s="399">
        <f>T418-('FMTC Main'!$E$27-V418)</f>
        <v>1779</v>
      </c>
      <c r="AA418" s="400" t="str">
        <f>A418&amp;" "&amp;B418&amp;" "&amp;C418</f>
        <v>2003 Nissan Fairlady Z</v>
      </c>
    </row>
    <row r="419" spans="1:27" ht="12.95" customHeight="1">
      <c r="A419" s="394">
        <v>1969</v>
      </c>
      <c r="B419" s="394" t="s">
        <v>222</v>
      </c>
      <c r="C419" s="394" t="s">
        <v>297</v>
      </c>
      <c r="D419" s="395">
        <v>12000</v>
      </c>
      <c r="E419" s="394" t="s">
        <v>1083</v>
      </c>
      <c r="F419" s="394">
        <v>205</v>
      </c>
      <c r="G419" s="396">
        <v>3</v>
      </c>
      <c r="H419" s="396">
        <v>4.4000000000000004</v>
      </c>
      <c r="I419" s="396">
        <v>5.3</v>
      </c>
      <c r="J419" s="396">
        <v>5.7</v>
      </c>
      <c r="K419" s="396">
        <v>4.4000000000000004</v>
      </c>
      <c r="L419" s="394" t="s">
        <v>1103</v>
      </c>
      <c r="M419" s="394"/>
      <c r="N419" s="389">
        <f>AVERAGE(H419,I419,K419)</f>
        <v>4.7</v>
      </c>
      <c r="O419" s="397">
        <v>2308</v>
      </c>
      <c r="P419" s="398">
        <v>1630</v>
      </c>
      <c r="Q419" s="397">
        <v>1290</v>
      </c>
      <c r="R419" s="397">
        <v>2305</v>
      </c>
      <c r="S419" s="397">
        <v>1355</v>
      </c>
      <c r="T419" s="397">
        <v>1345</v>
      </c>
      <c r="U419" s="397">
        <v>175</v>
      </c>
      <c r="V419" s="397">
        <v>175</v>
      </c>
      <c r="W419" s="397">
        <v>271</v>
      </c>
      <c r="X419" s="397">
        <v>228</v>
      </c>
      <c r="Y419" s="399">
        <f>S419-('FMTC Main'!$E$22-U419)</f>
        <v>1530</v>
      </c>
      <c r="Z419" s="399">
        <f>T419-('FMTC Main'!$E$27-V419)</f>
        <v>1520</v>
      </c>
      <c r="AA419" s="400" t="str">
        <f>A419&amp;" "&amp;B419&amp;" "&amp;C419</f>
        <v>1969 Nissan Fairlady Z 432</v>
      </c>
    </row>
    <row r="420" spans="1:27" ht="12.95" customHeight="1">
      <c r="A420" s="394">
        <v>1994</v>
      </c>
      <c r="B420" s="394" t="s">
        <v>222</v>
      </c>
      <c r="C420" s="394" t="s">
        <v>225</v>
      </c>
      <c r="D420" s="410">
        <v>7000</v>
      </c>
      <c r="E420" s="394" t="s">
        <v>1088</v>
      </c>
      <c r="F420" s="394">
        <v>479</v>
      </c>
      <c r="G420" s="396">
        <v>5.8</v>
      </c>
      <c r="H420" s="396">
        <v>4.9000000000000004</v>
      </c>
      <c r="I420" s="396">
        <v>6.1</v>
      </c>
      <c r="J420" s="396">
        <v>6.5</v>
      </c>
      <c r="K420" s="396">
        <v>4.7</v>
      </c>
      <c r="L420" s="394" t="s">
        <v>1103</v>
      </c>
      <c r="M420" s="394"/>
      <c r="N420" s="389">
        <f>AVERAGE(H420,I420,K420)</f>
        <v>5.2333333333333334</v>
      </c>
      <c r="O420" s="397">
        <v>3351</v>
      </c>
      <c r="P420" s="398">
        <v>1790</v>
      </c>
      <c r="Q420" s="397">
        <v>1250</v>
      </c>
      <c r="R420" s="397">
        <v>2450</v>
      </c>
      <c r="S420" s="397">
        <v>1495</v>
      </c>
      <c r="T420" s="397">
        <v>1535</v>
      </c>
      <c r="U420" s="397">
        <v>225</v>
      </c>
      <c r="V420" s="397">
        <v>225</v>
      </c>
      <c r="W420" s="397">
        <v>279</v>
      </c>
      <c r="X420" s="397">
        <v>297</v>
      </c>
      <c r="Y420" s="399">
        <f>S420-('FMTC Main'!$E$22-U420)</f>
        <v>1720</v>
      </c>
      <c r="Z420" s="399">
        <f>T420-('FMTC Main'!$E$27-V420)</f>
        <v>1760</v>
      </c>
      <c r="AA420" s="400" t="str">
        <f>A420&amp;" "&amp;B420&amp;" "&amp;C420</f>
        <v>1994 Nissan Fairlady Z Version S Twin Turbo</v>
      </c>
    </row>
    <row r="421" spans="1:27" ht="12.95" customHeight="1">
      <c r="A421" s="394">
        <v>2010</v>
      </c>
      <c r="B421" s="394" t="s">
        <v>222</v>
      </c>
      <c r="C421" s="394" t="s">
        <v>565</v>
      </c>
      <c r="D421" s="410">
        <v>150000</v>
      </c>
      <c r="E421" s="394" t="s">
        <v>1092</v>
      </c>
      <c r="F421" s="394">
        <v>663</v>
      </c>
      <c r="G421" s="396">
        <v>9.1</v>
      </c>
      <c r="H421" s="396">
        <v>5.6</v>
      </c>
      <c r="I421" s="396">
        <v>8.3000000000000007</v>
      </c>
      <c r="J421" s="396">
        <v>9.6999999999999993</v>
      </c>
      <c r="K421" s="396">
        <v>5.5</v>
      </c>
      <c r="L421" s="394" t="s">
        <v>1103</v>
      </c>
      <c r="M421" s="394"/>
      <c r="N421" s="389">
        <f>AVERAGE(H421,I421,K421)</f>
        <v>6.4666666666666659</v>
      </c>
      <c r="O421" s="397">
        <v>3704</v>
      </c>
      <c r="P421" s="398">
        <v>1895</v>
      </c>
      <c r="Q421" s="397">
        <v>1370</v>
      </c>
      <c r="R421" s="397">
        <v>2780</v>
      </c>
      <c r="S421" s="397">
        <v>1590</v>
      </c>
      <c r="T421" s="397">
        <v>1600</v>
      </c>
      <c r="U421" s="397">
        <v>255</v>
      </c>
      <c r="V421" s="397">
        <v>285</v>
      </c>
      <c r="W421" s="397">
        <v>390</v>
      </c>
      <c r="X421" s="397">
        <v>380</v>
      </c>
      <c r="Y421" s="399">
        <f>S421-('FMTC Main'!$E$22-U421)</f>
        <v>1845</v>
      </c>
      <c r="Z421" s="399">
        <f>T421-('FMTC Main'!$E$27-V421)</f>
        <v>1885</v>
      </c>
      <c r="AA421" s="400" t="str">
        <f>A421&amp;" "&amp;B421&amp;" "&amp;C421</f>
        <v>2010 Nissan GT-R SpecV</v>
      </c>
    </row>
    <row r="422" spans="1:27" ht="12.95" customHeight="1">
      <c r="A422" s="394">
        <v>2011</v>
      </c>
      <c r="B422" s="394" t="s">
        <v>222</v>
      </c>
      <c r="C422" s="394" t="s">
        <v>939</v>
      </c>
      <c r="D422" s="410">
        <v>30000</v>
      </c>
      <c r="E422" s="394" t="s">
        <v>1099</v>
      </c>
      <c r="F422" s="394">
        <v>125</v>
      </c>
      <c r="G422" s="396">
        <v>3</v>
      </c>
      <c r="H422" s="396">
        <v>4.3</v>
      </c>
      <c r="I422" s="396">
        <v>3.3</v>
      </c>
      <c r="J422" s="396">
        <v>3.5</v>
      </c>
      <c r="K422" s="396">
        <v>4.2</v>
      </c>
      <c r="L422" s="394" t="s">
        <v>1103</v>
      </c>
      <c r="M422" s="394"/>
      <c r="N422" s="389">
        <f>AVERAGE(H422,I422,K422)</f>
        <v>3.9333333333333336</v>
      </c>
      <c r="O422" s="397">
        <v>3360</v>
      </c>
      <c r="P422" s="398">
        <v>1770</v>
      </c>
      <c r="Q422" s="397">
        <v>1549</v>
      </c>
      <c r="R422" s="397">
        <v>2700</v>
      </c>
      <c r="S422" s="397">
        <v>1539</v>
      </c>
      <c r="T422" s="397">
        <v>1534</v>
      </c>
      <c r="U422" s="397">
        <v>205</v>
      </c>
      <c r="V422" s="397">
        <v>205</v>
      </c>
      <c r="W422" s="397">
        <v>282</v>
      </c>
      <c r="X422" s="397">
        <v>292</v>
      </c>
      <c r="Y422" s="399">
        <f>S422-('FMTC Main'!$E$22-U422)</f>
        <v>1744</v>
      </c>
      <c r="Z422" s="399">
        <f>T422-('FMTC Main'!$E$27-V422)</f>
        <v>1739</v>
      </c>
      <c r="AA422" s="400" t="str">
        <f>A422&amp;" "&amp;B422&amp;" "&amp;C422</f>
        <v>2011 Nissan Leaf</v>
      </c>
    </row>
    <row r="423" spans="1:27" ht="12.95" customHeight="1">
      <c r="A423" s="394">
        <v>2011</v>
      </c>
      <c r="B423" s="394" t="s">
        <v>222</v>
      </c>
      <c r="C423" s="394" t="s">
        <v>940</v>
      </c>
      <c r="D423" s="395">
        <v>10000</v>
      </c>
      <c r="E423" s="394" t="s">
        <v>1099</v>
      </c>
      <c r="F423" s="394">
        <v>121</v>
      </c>
      <c r="G423" s="396">
        <v>3</v>
      </c>
      <c r="H423" s="396">
        <v>4.5</v>
      </c>
      <c r="I423" s="396">
        <v>3.2</v>
      </c>
      <c r="J423" s="396">
        <v>3.4</v>
      </c>
      <c r="K423" s="396">
        <v>4.4000000000000004</v>
      </c>
      <c r="L423" s="394" t="s">
        <v>1103</v>
      </c>
      <c r="M423" s="394"/>
      <c r="N423" s="389">
        <f>AVERAGE(H423,I423,K423)</f>
        <v>4.0333333333333341</v>
      </c>
      <c r="O423" s="397">
        <v>2138</v>
      </c>
      <c r="P423" s="398">
        <v>1775</v>
      </c>
      <c r="Q423" s="397">
        <v>1340</v>
      </c>
      <c r="R423" s="397">
        <v>2450</v>
      </c>
      <c r="S423" s="397">
        <v>1480</v>
      </c>
      <c r="T423" s="397">
        <v>1480</v>
      </c>
      <c r="U423" s="397">
        <v>175</v>
      </c>
      <c r="V423" s="397">
        <v>175</v>
      </c>
      <c r="W423" s="397">
        <v>260</v>
      </c>
      <c r="X423" s="397">
        <v>203</v>
      </c>
      <c r="Y423" s="399">
        <f>S423-('FMTC Main'!$E$22-U423)</f>
        <v>1655</v>
      </c>
      <c r="Z423" s="399">
        <f>T423-('FMTC Main'!$E$27-V423)</f>
        <v>1655</v>
      </c>
      <c r="AA423" s="400" t="str">
        <f>A423&amp;" "&amp;B423&amp;" "&amp;C423</f>
        <v>2011 Nissan Micra</v>
      </c>
    </row>
    <row r="424" spans="1:27" ht="12.95" customHeight="1">
      <c r="A424" s="394">
        <v>1993</v>
      </c>
      <c r="B424" s="394" t="s">
        <v>222</v>
      </c>
      <c r="C424" s="394" t="s">
        <v>1049</v>
      </c>
      <c r="D424" s="395"/>
      <c r="E424" s="394" t="s">
        <v>1092</v>
      </c>
      <c r="F424" s="394">
        <v>675</v>
      </c>
      <c r="G424" s="396">
        <v>8.9</v>
      </c>
      <c r="H424" s="396">
        <v>5.7</v>
      </c>
      <c r="I424" s="396">
        <v>9</v>
      </c>
      <c r="J424" s="396">
        <v>9.8000000000000007</v>
      </c>
      <c r="K424" s="396">
        <v>5.6</v>
      </c>
      <c r="L424" s="394" t="s">
        <v>1103</v>
      </c>
      <c r="M424" s="394" t="s">
        <v>1096</v>
      </c>
      <c r="N424" s="389">
        <f>AVERAGE(H424,I424,K424)</f>
        <v>6.7666666666666657</v>
      </c>
      <c r="O424" s="397">
        <v>3307</v>
      </c>
      <c r="P424" s="398">
        <v>1755</v>
      </c>
      <c r="Q424" s="397">
        <v>1340</v>
      </c>
      <c r="R424" s="397">
        <v>2615</v>
      </c>
      <c r="S424" s="397">
        <v>1480</v>
      </c>
      <c r="T424" s="397">
        <v>1480</v>
      </c>
      <c r="U424" s="397">
        <v>225</v>
      </c>
      <c r="V424" s="397">
        <v>225</v>
      </c>
      <c r="W424" s="397">
        <v>324</v>
      </c>
      <c r="X424" s="397">
        <v>300</v>
      </c>
      <c r="Y424" s="399">
        <f>S424-('FMTC Main'!$E$22-U424)</f>
        <v>1705</v>
      </c>
      <c r="Z424" s="399">
        <f>T424-('FMTC Main'!$E$27-V424)</f>
        <v>1705</v>
      </c>
      <c r="AA424" s="400" t="str">
        <f>A424&amp;" "&amp;B424&amp;" "&amp;C424</f>
        <v>1993 Nissan MINE'S R32 Skyline GT-R</v>
      </c>
    </row>
    <row r="425" spans="1:27" ht="12.95" customHeight="1">
      <c r="A425" s="394">
        <v>2002</v>
      </c>
      <c r="B425" s="394" t="s">
        <v>222</v>
      </c>
      <c r="C425" s="394" t="s">
        <v>1050</v>
      </c>
      <c r="D425" s="395"/>
      <c r="E425" s="394"/>
      <c r="F425" s="394"/>
      <c r="G425" s="396"/>
      <c r="H425" s="396"/>
      <c r="I425" s="396"/>
      <c r="J425" s="396"/>
      <c r="K425" s="396"/>
      <c r="L425" s="394" t="s">
        <v>1103</v>
      </c>
      <c r="M425" s="394" t="s">
        <v>1096</v>
      </c>
      <c r="N425" s="389" t="e">
        <f>AVERAGE(H425,I425,K425)</f>
        <v>#DIV/0!</v>
      </c>
      <c r="O425" s="397">
        <v>3439</v>
      </c>
      <c r="P425" s="398">
        <v>1785</v>
      </c>
      <c r="Q425" s="397">
        <v>1360</v>
      </c>
      <c r="R425" s="397">
        <v>2665</v>
      </c>
      <c r="S425" s="397">
        <v>1480</v>
      </c>
      <c r="T425" s="397">
        <v>1490</v>
      </c>
      <c r="U425" s="397">
        <v>245</v>
      </c>
      <c r="V425" s="397">
        <v>245</v>
      </c>
      <c r="W425" s="397">
        <v>300</v>
      </c>
      <c r="X425" s="397">
        <v>280</v>
      </c>
      <c r="Y425" s="399">
        <f>S425-('FMTC Main'!$E$22-U425)</f>
        <v>1725</v>
      </c>
      <c r="Z425" s="399">
        <f>T425-('FMTC Main'!$E$27-V425)</f>
        <v>1735</v>
      </c>
      <c r="AA425" s="400" t="str">
        <f>A425&amp;" "&amp;B425&amp;" "&amp;C425</f>
        <v>2002 Nissan MINE'S R34 Skyline GT-R</v>
      </c>
    </row>
    <row r="426" spans="1:27" ht="12.95" customHeight="1">
      <c r="A426" s="394">
        <v>1998</v>
      </c>
      <c r="B426" s="394" t="s">
        <v>222</v>
      </c>
      <c r="C426" s="394" t="s">
        <v>298</v>
      </c>
      <c r="D426" s="395">
        <v>1200000</v>
      </c>
      <c r="E426" s="394" t="s">
        <v>1094</v>
      </c>
      <c r="F426" s="394">
        <v>706</v>
      </c>
      <c r="G426" s="396">
        <v>8.1</v>
      </c>
      <c r="H426" s="396">
        <v>6.1</v>
      </c>
      <c r="I426" s="396">
        <v>8.6</v>
      </c>
      <c r="J426" s="396">
        <v>7.6</v>
      </c>
      <c r="K426" s="396">
        <v>5.9</v>
      </c>
      <c r="L426" s="394" t="s">
        <v>1103</v>
      </c>
      <c r="M426" s="394"/>
      <c r="N426" s="389">
        <f>AVERAGE(H426,I426,K426)</f>
        <v>6.8666666666666671</v>
      </c>
      <c r="O426" s="397">
        <v>2264</v>
      </c>
      <c r="P426" s="398">
        <v>1999</v>
      </c>
      <c r="Q426" s="397">
        <v>1140</v>
      </c>
      <c r="R426" s="397">
        <v>2720</v>
      </c>
      <c r="S426" s="397">
        <v>1730</v>
      </c>
      <c r="T426" s="397">
        <v>1669</v>
      </c>
      <c r="U426" s="397">
        <v>245</v>
      </c>
      <c r="V426" s="397">
        <v>295</v>
      </c>
      <c r="W426" s="397">
        <v>356</v>
      </c>
      <c r="X426" s="397">
        <v>356</v>
      </c>
      <c r="Y426" s="399">
        <f>S426-('FMTC Main'!$E$22-U426)</f>
        <v>1975</v>
      </c>
      <c r="Z426" s="399">
        <f>T426-('FMTC Main'!$E$27-V426)</f>
        <v>1964</v>
      </c>
      <c r="AA426" s="400" t="str">
        <f>A426&amp;" "&amp;B426&amp;" "&amp;C426</f>
        <v>1998 Nissan R390</v>
      </c>
    </row>
    <row r="427" spans="1:27" ht="12.95" customHeight="1">
      <c r="A427" s="394">
        <v>2007</v>
      </c>
      <c r="B427" s="394" t="s">
        <v>222</v>
      </c>
      <c r="C427" s="394" t="s">
        <v>226</v>
      </c>
      <c r="D427" s="395">
        <v>11000</v>
      </c>
      <c r="E427" s="394" t="s">
        <v>1085</v>
      </c>
      <c r="F427" s="394">
        <v>336</v>
      </c>
      <c r="G427" s="396">
        <v>4.5999999999999996</v>
      </c>
      <c r="H427" s="396">
        <v>4.3</v>
      </c>
      <c r="I427" s="396">
        <v>5.9</v>
      </c>
      <c r="J427" s="396">
        <v>6.2</v>
      </c>
      <c r="K427" s="396">
        <v>4.2</v>
      </c>
      <c r="L427" s="394" t="s">
        <v>1103</v>
      </c>
      <c r="M427" s="394"/>
      <c r="N427" s="389">
        <f>AVERAGE(H427,I427,K427)</f>
        <v>4.8</v>
      </c>
      <c r="O427" s="397">
        <v>3078</v>
      </c>
      <c r="P427" s="398">
        <v>1791</v>
      </c>
      <c r="Q427" s="397">
        <v>1501</v>
      </c>
      <c r="R427" s="397">
        <v>2685</v>
      </c>
      <c r="S427" s="397">
        <v>1511</v>
      </c>
      <c r="T427" s="397">
        <v>1534</v>
      </c>
      <c r="U427" s="397">
        <v>225</v>
      </c>
      <c r="V427" s="397">
        <v>225</v>
      </c>
      <c r="W427" s="397">
        <v>320</v>
      </c>
      <c r="X427" s="397">
        <v>292</v>
      </c>
      <c r="Y427" s="399">
        <f>S427-('FMTC Main'!$E$22-U427)</f>
        <v>1736</v>
      </c>
      <c r="Z427" s="399">
        <f>T427-('FMTC Main'!$E$27-V427)</f>
        <v>1759</v>
      </c>
      <c r="AA427" s="400" t="str">
        <f>A427&amp;" "&amp;B427&amp;" "&amp;C427</f>
        <v>2007 Nissan Sentra SE-R Spec V</v>
      </c>
    </row>
    <row r="428" spans="1:27" ht="12.95" customHeight="1">
      <c r="A428" s="394">
        <v>1992</v>
      </c>
      <c r="B428" s="394" t="s">
        <v>222</v>
      </c>
      <c r="C428" s="394" t="s">
        <v>1052</v>
      </c>
      <c r="D428" s="395">
        <v>6000</v>
      </c>
      <c r="E428" s="394" t="s">
        <v>1085</v>
      </c>
      <c r="F428" s="394">
        <v>319</v>
      </c>
      <c r="G428" s="396">
        <v>4.9000000000000004</v>
      </c>
      <c r="H428" s="396">
        <v>4.5999999999999996</v>
      </c>
      <c r="I428" s="396">
        <v>5.8</v>
      </c>
      <c r="J428" s="396">
        <v>6.3</v>
      </c>
      <c r="K428" s="396">
        <v>4.4000000000000004</v>
      </c>
      <c r="L428" s="394" t="s">
        <v>1103</v>
      </c>
      <c r="M428" s="394"/>
      <c r="N428" s="389">
        <f>AVERAGE(H428,I428,K428)</f>
        <v>4.9333333333333327</v>
      </c>
      <c r="O428" s="397">
        <v>2535</v>
      </c>
      <c r="P428" s="398">
        <v>1690</v>
      </c>
      <c r="Q428" s="397">
        <v>1290</v>
      </c>
      <c r="R428" s="397">
        <v>2475</v>
      </c>
      <c r="S428" s="397">
        <v>1465</v>
      </c>
      <c r="T428" s="397">
        <v>1460</v>
      </c>
      <c r="U428" s="397">
        <v>205</v>
      </c>
      <c r="V428" s="397">
        <v>205</v>
      </c>
      <c r="W428" s="397">
        <v>252</v>
      </c>
      <c r="X428" s="397">
        <v>258</v>
      </c>
      <c r="Y428" s="399">
        <f>S428-('FMTC Main'!$E$22-U428)</f>
        <v>1670</v>
      </c>
      <c r="Z428" s="399">
        <f>T428-('FMTC Main'!$E$27-V428)</f>
        <v>1665</v>
      </c>
      <c r="AA428" s="400" t="str">
        <f>A428&amp;" "&amp;B428&amp;" "&amp;C428</f>
        <v>1992 Nissan Silvia CLUB K's</v>
      </c>
    </row>
    <row r="429" spans="1:27" ht="12.95" customHeight="1">
      <c r="A429" s="394">
        <v>1994</v>
      </c>
      <c r="B429" s="394" t="s">
        <v>222</v>
      </c>
      <c r="C429" s="394" t="s">
        <v>1053</v>
      </c>
      <c r="D429" s="395">
        <v>6000</v>
      </c>
      <c r="E429" s="394" t="s">
        <v>1085</v>
      </c>
      <c r="F429" s="394">
        <v>326</v>
      </c>
      <c r="G429" s="396">
        <v>4.5</v>
      </c>
      <c r="H429" s="396">
        <v>4.7</v>
      </c>
      <c r="I429" s="396">
        <v>5.8</v>
      </c>
      <c r="J429" s="396">
        <v>6.3</v>
      </c>
      <c r="K429" s="396">
        <v>4.5</v>
      </c>
      <c r="L429" s="394" t="s">
        <v>1103</v>
      </c>
      <c r="M429" s="394"/>
      <c r="N429" s="389">
        <f>AVERAGE(H429,I429,K429)</f>
        <v>5</v>
      </c>
      <c r="O429" s="397">
        <v>2800</v>
      </c>
      <c r="P429" s="398">
        <v>1730</v>
      </c>
      <c r="Q429" s="397">
        <v>1295</v>
      </c>
      <c r="R429" s="397">
        <v>2525</v>
      </c>
      <c r="S429" s="397">
        <v>1480</v>
      </c>
      <c r="T429" s="397">
        <v>1470</v>
      </c>
      <c r="U429" s="397">
        <v>205</v>
      </c>
      <c r="V429" s="397">
        <v>205</v>
      </c>
      <c r="W429" s="397">
        <v>252</v>
      </c>
      <c r="X429" s="397">
        <v>258</v>
      </c>
      <c r="Y429" s="399">
        <f>S429-('FMTC Main'!$E$22-U429)</f>
        <v>1685</v>
      </c>
      <c r="Z429" s="399">
        <f>T429-('FMTC Main'!$E$27-V429)</f>
        <v>1675</v>
      </c>
      <c r="AA429" s="400" t="str">
        <f>A429&amp;" "&amp;B429&amp;" "&amp;C429</f>
        <v>1994 Nissan Silvia K's</v>
      </c>
    </row>
    <row r="430" spans="1:27" ht="12.95" customHeight="1">
      <c r="A430" s="394">
        <v>2000</v>
      </c>
      <c r="B430" s="394" t="s">
        <v>222</v>
      </c>
      <c r="C430" s="394" t="s">
        <v>1054</v>
      </c>
      <c r="D430" s="395">
        <v>16000</v>
      </c>
      <c r="E430" s="394" t="s">
        <v>1087</v>
      </c>
      <c r="F430" s="394">
        <v>404</v>
      </c>
      <c r="G430" s="396">
        <v>5.7</v>
      </c>
      <c r="H430" s="396">
        <v>4.9000000000000004</v>
      </c>
      <c r="I430" s="396">
        <v>6.4</v>
      </c>
      <c r="J430" s="396">
        <v>7.1</v>
      </c>
      <c r="K430" s="396">
        <v>4.7</v>
      </c>
      <c r="L430" s="394" t="s">
        <v>1103</v>
      </c>
      <c r="M430" s="394"/>
      <c r="N430" s="389">
        <f>AVERAGE(H430,I430,K430)</f>
        <v>5.333333333333333</v>
      </c>
      <c r="O430" s="397">
        <v>2734</v>
      </c>
      <c r="P430" s="398">
        <v>1695</v>
      </c>
      <c r="Q430" s="397">
        <v>1285</v>
      </c>
      <c r="R430" s="397">
        <v>2525</v>
      </c>
      <c r="S430" s="397">
        <v>1470</v>
      </c>
      <c r="T430" s="397">
        <v>1460</v>
      </c>
      <c r="U430" s="397">
        <v>205</v>
      </c>
      <c r="V430" s="397">
        <v>205</v>
      </c>
      <c r="W430" s="397">
        <v>257</v>
      </c>
      <c r="X430" s="397">
        <v>258</v>
      </c>
      <c r="Y430" s="399">
        <f>S430-('FMTC Main'!$E$22-U430)</f>
        <v>1675</v>
      </c>
      <c r="Z430" s="399">
        <f>T430-('FMTC Main'!$E$27-V430)</f>
        <v>1665</v>
      </c>
      <c r="AA430" s="400" t="str">
        <f>A430&amp;" "&amp;B430&amp;" "&amp;C430</f>
        <v>2000 Nissan Silvia Spec-R</v>
      </c>
    </row>
    <row r="431" spans="1:27" ht="12.95" customHeight="1">
      <c r="A431" s="394">
        <v>1971</v>
      </c>
      <c r="B431" s="394" t="s">
        <v>222</v>
      </c>
      <c r="C431" s="394" t="s">
        <v>347</v>
      </c>
      <c r="D431" s="395">
        <v>28000</v>
      </c>
      <c r="E431" s="394" t="s">
        <v>1083</v>
      </c>
      <c r="F431" s="394">
        <v>213</v>
      </c>
      <c r="G431" s="396">
        <v>3.5</v>
      </c>
      <c r="H431" s="396">
        <v>4</v>
      </c>
      <c r="I431" s="396">
        <v>5.5</v>
      </c>
      <c r="J431" s="396">
        <v>5.8</v>
      </c>
      <c r="K431" s="396">
        <v>4</v>
      </c>
      <c r="L431" s="394" t="s">
        <v>1103</v>
      </c>
      <c r="M431" s="394"/>
      <c r="N431" s="389">
        <f>AVERAGE(H431,I431,K431)</f>
        <v>4.5</v>
      </c>
      <c r="O431" s="397">
        <v>2425</v>
      </c>
      <c r="P431" s="398">
        <v>1595</v>
      </c>
      <c r="Q431" s="397">
        <v>1370</v>
      </c>
      <c r="R431" s="397">
        <v>2570</v>
      </c>
      <c r="S431" s="397">
        <v>1370</v>
      </c>
      <c r="T431" s="397">
        <v>1365</v>
      </c>
      <c r="U431" s="397">
        <v>165</v>
      </c>
      <c r="V431" s="397">
        <v>165</v>
      </c>
      <c r="W431" s="397">
        <v>271</v>
      </c>
      <c r="X431" s="397">
        <v>229</v>
      </c>
      <c r="Y431" s="399">
        <f>S431-('FMTC Main'!$E$22-U431)</f>
        <v>1535</v>
      </c>
      <c r="Z431" s="399">
        <f>T431-('FMTC Main'!$E$27-V431)</f>
        <v>1530</v>
      </c>
      <c r="AA431" s="400" t="str">
        <f>A431&amp;" "&amp;B431&amp;" "&amp;C431</f>
        <v>1971 Nissan Skyline 2000GT-R</v>
      </c>
    </row>
    <row r="432" spans="1:27" ht="12.95" customHeight="1">
      <c r="A432" s="394">
        <v>2003</v>
      </c>
      <c r="B432" s="394" t="s">
        <v>222</v>
      </c>
      <c r="C432" s="394" t="s">
        <v>299</v>
      </c>
      <c r="D432" s="395">
        <v>12000</v>
      </c>
      <c r="E432" s="394" t="s">
        <v>1087</v>
      </c>
      <c r="F432" s="394">
        <v>418</v>
      </c>
      <c r="G432" s="396">
        <v>6.6</v>
      </c>
      <c r="H432" s="396">
        <v>4.9000000000000004</v>
      </c>
      <c r="I432" s="396">
        <v>6.4</v>
      </c>
      <c r="J432" s="396">
        <v>6.8</v>
      </c>
      <c r="K432" s="396">
        <v>4.8</v>
      </c>
      <c r="L432" s="394" t="s">
        <v>1103</v>
      </c>
      <c r="M432" s="394"/>
      <c r="N432" s="389">
        <f>AVERAGE(H432,I432,K432)</f>
        <v>5.3666666666666671</v>
      </c>
      <c r="O432" s="397">
        <v>3417</v>
      </c>
      <c r="P432" s="398">
        <v>1750</v>
      </c>
      <c r="Q432" s="397">
        <v>1360</v>
      </c>
      <c r="R432" s="397">
        <v>2665</v>
      </c>
      <c r="S432" s="397">
        <v>1480</v>
      </c>
      <c r="T432" s="397">
        <v>1490</v>
      </c>
      <c r="U432" s="397">
        <v>225</v>
      </c>
      <c r="V432" s="397">
        <v>235</v>
      </c>
      <c r="W432" s="397">
        <v>296</v>
      </c>
      <c r="X432" s="397">
        <v>292</v>
      </c>
      <c r="Y432" s="399">
        <f>S432-('FMTC Main'!$E$22-U432)</f>
        <v>1705</v>
      </c>
      <c r="Z432" s="399">
        <f>T432-('FMTC Main'!$E$27-V432)</f>
        <v>1725</v>
      </c>
      <c r="AA432" s="400" t="str">
        <f>A432&amp;" "&amp;B432&amp;" "&amp;C432</f>
        <v>2003 Nissan Skyline Coupe 350GT</v>
      </c>
    </row>
    <row r="433" spans="1:27" ht="12.95" customHeight="1">
      <c r="A433" s="394">
        <v>1993</v>
      </c>
      <c r="B433" s="394" t="s">
        <v>222</v>
      </c>
      <c r="C433" s="394" t="s">
        <v>1048</v>
      </c>
      <c r="D433" s="395">
        <v>13000</v>
      </c>
      <c r="E433" s="394" t="s">
        <v>1088</v>
      </c>
      <c r="F433" s="394">
        <v>477</v>
      </c>
      <c r="G433" s="396">
        <v>5.5</v>
      </c>
      <c r="H433" s="396">
        <v>5</v>
      </c>
      <c r="I433" s="396">
        <v>6.6</v>
      </c>
      <c r="J433" s="396">
        <v>7</v>
      </c>
      <c r="K433" s="396">
        <v>5</v>
      </c>
      <c r="L433" s="394" t="s">
        <v>1103</v>
      </c>
      <c r="M433" s="394"/>
      <c r="N433" s="389">
        <f>AVERAGE(H433,I433,K433)</f>
        <v>5.5333333333333341</v>
      </c>
      <c r="O433" s="397">
        <v>3307</v>
      </c>
      <c r="P433" s="398">
        <v>1755</v>
      </c>
      <c r="Q433" s="397">
        <v>1354</v>
      </c>
      <c r="R433" s="397">
        <v>2616</v>
      </c>
      <c r="S433" s="397">
        <v>1480</v>
      </c>
      <c r="T433" s="397">
        <v>1481</v>
      </c>
      <c r="U433" s="397">
        <v>225</v>
      </c>
      <c r="V433" s="397">
        <v>225</v>
      </c>
      <c r="W433" s="397">
        <v>280</v>
      </c>
      <c r="X433" s="397">
        <v>296</v>
      </c>
      <c r="Y433" s="399">
        <f>S433-('FMTC Main'!$E$22-U433)</f>
        <v>1705</v>
      </c>
      <c r="Z433" s="399">
        <f>T433-('FMTC Main'!$E$27-V433)</f>
        <v>1706</v>
      </c>
      <c r="AA433" s="400" t="str">
        <f>A433&amp;" "&amp;B433&amp;" "&amp;C433</f>
        <v>1993 Nissan Skyline GT-R V-Spec</v>
      </c>
    </row>
    <row r="434" spans="1:27" ht="12.95" customHeight="1">
      <c r="A434" s="394">
        <v>1997</v>
      </c>
      <c r="B434" s="394" t="s">
        <v>222</v>
      </c>
      <c r="C434" s="394" t="s">
        <v>1048</v>
      </c>
      <c r="D434" s="395">
        <v>18000</v>
      </c>
      <c r="E434" s="394" t="s">
        <v>1088</v>
      </c>
      <c r="F434" s="394">
        <v>484</v>
      </c>
      <c r="G434" s="396">
        <v>5.8</v>
      </c>
      <c r="H434" s="396">
        <v>5.3</v>
      </c>
      <c r="I434" s="396">
        <v>6.5</v>
      </c>
      <c r="J434" s="396">
        <v>6.9</v>
      </c>
      <c r="K434" s="396">
        <v>5.3</v>
      </c>
      <c r="L434" s="394" t="s">
        <v>1103</v>
      </c>
      <c r="M434" s="394"/>
      <c r="N434" s="389">
        <f>AVERAGE(H434,I434,K434)</f>
        <v>5.7</v>
      </c>
      <c r="O434" s="397">
        <v>3393</v>
      </c>
      <c r="P434" s="398">
        <v>1720</v>
      </c>
      <c r="Q434" s="397">
        <v>1360</v>
      </c>
      <c r="R434" s="397">
        <v>2720</v>
      </c>
      <c r="S434" s="397">
        <v>1481</v>
      </c>
      <c r="T434" s="397">
        <v>1491</v>
      </c>
      <c r="U434" s="397">
        <v>265</v>
      </c>
      <c r="V434" s="397">
        <v>265</v>
      </c>
      <c r="W434" s="397">
        <v>280</v>
      </c>
      <c r="X434" s="397">
        <v>278</v>
      </c>
      <c r="Y434" s="399">
        <f>S434-('FMTC Main'!$E$22-U434)</f>
        <v>1746</v>
      </c>
      <c r="Z434" s="399">
        <f>T434-('FMTC Main'!$E$27-V434)</f>
        <v>1756</v>
      </c>
      <c r="AA434" s="400" t="str">
        <f>A434&amp;" "&amp;B434&amp;" "&amp;C434</f>
        <v>1997 Nissan Skyline GT-R V-Spec</v>
      </c>
    </row>
    <row r="435" spans="1:27" ht="12.95" customHeight="1">
      <c r="A435" s="394">
        <v>2002</v>
      </c>
      <c r="B435" s="394" t="s">
        <v>222</v>
      </c>
      <c r="C435" s="394" t="s">
        <v>1051</v>
      </c>
      <c r="D435" s="395">
        <v>52000</v>
      </c>
      <c r="E435" s="394" t="s">
        <v>349</v>
      </c>
      <c r="F435" s="394">
        <v>503</v>
      </c>
      <c r="G435" s="396">
        <v>6.1</v>
      </c>
      <c r="H435" s="396">
        <v>5.3</v>
      </c>
      <c r="I435" s="396">
        <v>6.8</v>
      </c>
      <c r="J435" s="396">
        <v>7.4</v>
      </c>
      <c r="K435" s="396">
        <v>5.2</v>
      </c>
      <c r="L435" s="394" t="s">
        <v>1103</v>
      </c>
      <c r="M435" s="394"/>
      <c r="N435" s="389">
        <f>AVERAGE(H435,I435,K435)</f>
        <v>5.7666666666666666</v>
      </c>
      <c r="O435" s="397">
        <v>3439</v>
      </c>
      <c r="P435" s="398">
        <v>1750</v>
      </c>
      <c r="Q435" s="397">
        <v>1471</v>
      </c>
      <c r="R435" s="397">
        <v>2850</v>
      </c>
      <c r="S435" s="397">
        <v>1471</v>
      </c>
      <c r="T435" s="397">
        <v>1509</v>
      </c>
      <c r="U435" s="397">
        <v>255</v>
      </c>
      <c r="V435" s="397">
        <v>285</v>
      </c>
      <c r="W435" s="397">
        <v>296</v>
      </c>
      <c r="X435" s="397">
        <v>291</v>
      </c>
      <c r="Y435" s="399">
        <f>S435-('FMTC Main'!$E$22-U435)</f>
        <v>1726</v>
      </c>
      <c r="Z435" s="399">
        <f>T435-('FMTC Main'!$E$27-V435)</f>
        <v>1794</v>
      </c>
      <c r="AA435" s="400" t="str">
        <f>A435&amp;" "&amp;B435&amp;" "&amp;C435</f>
        <v>2002 Nissan Skyline GT-R V-Spec II</v>
      </c>
    </row>
    <row r="436" spans="1:27" ht="12.95" customHeight="1">
      <c r="A436" s="394">
        <v>2000</v>
      </c>
      <c r="B436" s="394" t="s">
        <v>222</v>
      </c>
      <c r="C436" s="394" t="s">
        <v>1113</v>
      </c>
      <c r="D436" s="395"/>
      <c r="E436" s="394" t="s">
        <v>1092</v>
      </c>
      <c r="F436" s="394">
        <v>642</v>
      </c>
      <c r="G436" s="396">
        <v>4.9000000000000004</v>
      </c>
      <c r="H436" s="396">
        <v>5.8</v>
      </c>
      <c r="I436" s="396">
        <v>8.6</v>
      </c>
      <c r="J436" s="396">
        <v>7.6</v>
      </c>
      <c r="K436" s="396">
        <v>5.8</v>
      </c>
      <c r="L436" s="394" t="s">
        <v>1103</v>
      </c>
      <c r="M436" s="394" t="s">
        <v>1096</v>
      </c>
      <c r="N436" s="389">
        <f>AVERAGE(H436,I436,K436)</f>
        <v>6.7333333333333334</v>
      </c>
      <c r="O436" s="397"/>
      <c r="P436" s="398">
        <v>1695</v>
      </c>
      <c r="Q436" s="397">
        <v>1285</v>
      </c>
      <c r="R436" s="397">
        <v>2525</v>
      </c>
      <c r="S436" s="397">
        <v>1470</v>
      </c>
      <c r="T436" s="397">
        <v>1460</v>
      </c>
      <c r="U436" s="397">
        <v>235</v>
      </c>
      <c r="V436" s="397">
        <v>265</v>
      </c>
      <c r="W436" s="397">
        <v>257</v>
      </c>
      <c r="X436" s="397">
        <v>258</v>
      </c>
      <c r="Y436" s="399">
        <f>S436-('FMTC Main'!$E$22-U436)</f>
        <v>1705</v>
      </c>
      <c r="Z436" s="399">
        <f>T436-('FMTC Main'!$E$27-V436)</f>
        <v>1725</v>
      </c>
      <c r="AA436" s="400" t="str">
        <f>A436&amp;" "&amp;B436&amp;" "&amp;C436</f>
        <v xml:space="preserve">2000 Nissan Top Secret Silvia D1-Spec S15 </v>
      </c>
    </row>
    <row r="437" spans="1:27" ht="12.95" customHeight="1">
      <c r="A437" s="394">
        <v>2009</v>
      </c>
      <c r="B437" s="394" t="s">
        <v>222</v>
      </c>
      <c r="C437" s="394" t="s">
        <v>227</v>
      </c>
      <c r="D437" s="395">
        <v>11000</v>
      </c>
      <c r="E437" s="394" t="s">
        <v>1083</v>
      </c>
      <c r="F437" s="394">
        <v>209</v>
      </c>
      <c r="G437" s="396">
        <v>3.2</v>
      </c>
      <c r="H437" s="396">
        <v>4.3</v>
      </c>
      <c r="I437" s="396">
        <v>4.8</v>
      </c>
      <c r="J437" s="396">
        <v>4.9000000000000004</v>
      </c>
      <c r="K437" s="396">
        <v>4.2</v>
      </c>
      <c r="L437" s="394" t="s">
        <v>1103</v>
      </c>
      <c r="M437" s="394"/>
      <c r="N437" s="389">
        <f>AVERAGE(H437,I437,K437)</f>
        <v>4.4333333333333336</v>
      </c>
      <c r="O437" s="397">
        <v>2718</v>
      </c>
      <c r="P437" s="398">
        <v>1694</v>
      </c>
      <c r="Q437" s="397">
        <v>1534</v>
      </c>
      <c r="R437" s="397">
        <v>2596</v>
      </c>
      <c r="S437" s="397">
        <v>1481</v>
      </c>
      <c r="T437" s="397">
        <v>1486</v>
      </c>
      <c r="U437" s="397">
        <v>185</v>
      </c>
      <c r="V437" s="397">
        <v>185</v>
      </c>
      <c r="W437" s="397">
        <v>280</v>
      </c>
      <c r="X437" s="397">
        <v>229</v>
      </c>
      <c r="Y437" s="399">
        <f>S437-('FMTC Main'!$E$22-U437)</f>
        <v>1666</v>
      </c>
      <c r="Z437" s="399">
        <f>T437-('FMTC Main'!$E$27-V437)</f>
        <v>1671</v>
      </c>
      <c r="AA437" s="400" t="str">
        <f>A437&amp;" "&amp;B437&amp;" "&amp;C437</f>
        <v>2009 Nissan Versa SL</v>
      </c>
    </row>
    <row r="438" spans="1:27" ht="12.95" customHeight="1">
      <c r="A438" s="394">
        <v>2010</v>
      </c>
      <c r="B438" s="394" t="s">
        <v>941</v>
      </c>
      <c r="C438" s="394" t="s">
        <v>942</v>
      </c>
      <c r="D438" s="410">
        <v>320000</v>
      </c>
      <c r="E438" s="394" t="s">
        <v>1094</v>
      </c>
      <c r="F438" s="394">
        <v>722</v>
      </c>
      <c r="G438" s="396">
        <v>10</v>
      </c>
      <c r="H438" s="396">
        <v>6.6</v>
      </c>
      <c r="I438" s="396">
        <v>9.3000000000000007</v>
      </c>
      <c r="J438" s="396">
        <v>8.6</v>
      </c>
      <c r="K438" s="396">
        <v>6.5</v>
      </c>
      <c r="L438" s="394" t="s">
        <v>1076</v>
      </c>
      <c r="M438" s="394" t="s">
        <v>1108</v>
      </c>
      <c r="N438" s="389">
        <f>AVERAGE(H438,I438,K438)</f>
        <v>7.4666666666666659</v>
      </c>
      <c r="O438" s="397">
        <v>2756</v>
      </c>
      <c r="P438" s="398">
        <v>1910</v>
      </c>
      <c r="Q438" s="397">
        <v>1140</v>
      </c>
      <c r="R438" s="397">
        <v>2540</v>
      </c>
      <c r="S438" s="397">
        <v>1578</v>
      </c>
      <c r="T438" s="397">
        <v>1578</v>
      </c>
      <c r="U438" s="397">
        <v>255</v>
      </c>
      <c r="V438" s="397">
        <v>335</v>
      </c>
      <c r="W438" s="397">
        <v>380</v>
      </c>
      <c r="X438" s="397">
        <v>350</v>
      </c>
      <c r="Y438" s="399">
        <f>S438-('FMTC Main'!$E$22-U438)</f>
        <v>1833</v>
      </c>
      <c r="Z438" s="399">
        <f>T438-('FMTC Main'!$E$27-V438)</f>
        <v>1913</v>
      </c>
      <c r="AA438" s="400" t="str">
        <f>A438&amp;" "&amp;B438&amp;" "&amp;C438</f>
        <v>2010 Noble M600</v>
      </c>
    </row>
    <row r="439" spans="1:27" ht="12.95" customHeight="1">
      <c r="A439" s="394">
        <v>1969</v>
      </c>
      <c r="B439" s="394" t="s">
        <v>943</v>
      </c>
      <c r="C439" s="394" t="s">
        <v>944</v>
      </c>
      <c r="D439" s="410">
        <v>40000</v>
      </c>
      <c r="E439" s="394" t="s">
        <v>1085</v>
      </c>
      <c r="F439" s="394">
        <v>314</v>
      </c>
      <c r="G439" s="396">
        <v>3.9</v>
      </c>
      <c r="H439" s="396">
        <v>3.5</v>
      </c>
      <c r="I439" s="396">
        <v>6.6</v>
      </c>
      <c r="J439" s="396">
        <v>5.9</v>
      </c>
      <c r="K439" s="396">
        <v>3.5</v>
      </c>
      <c r="L439" s="394" t="s">
        <v>1075</v>
      </c>
      <c r="M439" s="394"/>
      <c r="N439" s="389">
        <f>AVERAGE(H439,I439,K439)</f>
        <v>4.5333333333333332</v>
      </c>
      <c r="O439" s="397">
        <v>3855</v>
      </c>
      <c r="P439" s="398">
        <v>1935</v>
      </c>
      <c r="Q439" s="397">
        <v>1341</v>
      </c>
      <c r="R439" s="397">
        <v>2845</v>
      </c>
      <c r="S439" s="397">
        <v>1499</v>
      </c>
      <c r="T439" s="397">
        <v>1499</v>
      </c>
      <c r="U439" s="397">
        <v>235</v>
      </c>
      <c r="V439" s="397">
        <v>235</v>
      </c>
      <c r="W439" s="397">
        <v>279</v>
      </c>
      <c r="X439" s="397">
        <v>241</v>
      </c>
      <c r="Y439" s="399">
        <f>S439-('FMTC Main'!$E$22-U439)</f>
        <v>1734</v>
      </c>
      <c r="Z439" s="399">
        <f>T439-('FMTC Main'!$E$27-V439)</f>
        <v>1734</v>
      </c>
      <c r="AA439" s="400" t="str">
        <f>A439&amp;" "&amp;B439&amp;" "&amp;C439</f>
        <v>1969 Oldsmobile Hurst/Olds 442</v>
      </c>
    </row>
    <row r="440" spans="1:27" ht="12.95" customHeight="1">
      <c r="A440" s="394">
        <v>2003</v>
      </c>
      <c r="B440" s="394" t="s">
        <v>228</v>
      </c>
      <c r="C440" s="394" t="s">
        <v>945</v>
      </c>
      <c r="D440" s="410">
        <v>1200000</v>
      </c>
      <c r="E440" s="394" t="s">
        <v>1091</v>
      </c>
      <c r="F440" s="394">
        <v>829</v>
      </c>
      <c r="G440" s="396">
        <v>6.9</v>
      </c>
      <c r="H440" s="396">
        <v>8.6999999999999993</v>
      </c>
      <c r="I440" s="396">
        <v>9.1999999999999993</v>
      </c>
      <c r="J440" s="396">
        <v>8</v>
      </c>
      <c r="K440" s="396">
        <v>8.8000000000000007</v>
      </c>
      <c r="L440" s="394" t="s">
        <v>1093</v>
      </c>
      <c r="M440" s="394"/>
      <c r="N440" s="389">
        <f>AVERAGE(H440,I440,K440)</f>
        <v>8.9</v>
      </c>
      <c r="O440" s="397">
        <v>2271</v>
      </c>
      <c r="P440" s="398">
        <v>1850</v>
      </c>
      <c r="Q440" s="397">
        <v>1255</v>
      </c>
      <c r="R440" s="397">
        <v>2700</v>
      </c>
      <c r="S440" s="397">
        <v>1600</v>
      </c>
      <c r="T440" s="397">
        <v>1550</v>
      </c>
      <c r="U440" s="397">
        <v>250</v>
      </c>
      <c r="V440" s="397">
        <v>280</v>
      </c>
      <c r="W440" s="397">
        <v>380</v>
      </c>
      <c r="X440" s="397">
        <v>340</v>
      </c>
      <c r="Y440" s="399">
        <f>S440-('FMTC Main'!$E$22-U440)</f>
        <v>1850</v>
      </c>
      <c r="Z440" s="399">
        <f>T440-('FMTC Main'!$E$27-V440)</f>
        <v>1830</v>
      </c>
      <c r="AA440" s="400" t="str">
        <f>A440&amp;" "&amp;B440&amp;" "&amp;C440</f>
        <v>2003 Opel #5 OPC Team Phoenix Astra V8 Coupe</v>
      </c>
    </row>
    <row r="441" spans="1:27" ht="12.95" customHeight="1">
      <c r="A441" s="394">
        <v>2004</v>
      </c>
      <c r="B441" s="394" t="s">
        <v>228</v>
      </c>
      <c r="C441" s="394" t="s">
        <v>229</v>
      </c>
      <c r="D441" s="410">
        <v>35000</v>
      </c>
      <c r="E441" s="394" t="s">
        <v>1088</v>
      </c>
      <c r="F441" s="394">
        <v>443</v>
      </c>
      <c r="G441" s="396">
        <v>4.8</v>
      </c>
      <c r="H441" s="396">
        <v>5.2</v>
      </c>
      <c r="I441" s="396">
        <v>6.9</v>
      </c>
      <c r="J441" s="396">
        <v>7.9</v>
      </c>
      <c r="K441" s="396">
        <v>5.2</v>
      </c>
      <c r="L441" s="394" t="s">
        <v>1093</v>
      </c>
      <c r="M441" s="394"/>
      <c r="N441" s="389">
        <f>AVERAGE(H441,I441,K441)</f>
        <v>5.7666666666666666</v>
      </c>
      <c r="O441" s="397">
        <v>2050</v>
      </c>
      <c r="P441" s="398">
        <v>1708</v>
      </c>
      <c r="Q441" s="397">
        <v>1117</v>
      </c>
      <c r="R441" s="397">
        <v>2330</v>
      </c>
      <c r="S441" s="397">
        <v>1450</v>
      </c>
      <c r="T441" s="397">
        <v>1488</v>
      </c>
      <c r="U441" s="397">
        <v>175</v>
      </c>
      <c r="V441" s="397">
        <v>225</v>
      </c>
      <c r="W441" s="397">
        <v>288</v>
      </c>
      <c r="X441" s="397">
        <v>288</v>
      </c>
      <c r="Y441" s="399">
        <f>S441-('FMTC Main'!$E$22-U441)</f>
        <v>1625</v>
      </c>
      <c r="Z441" s="399">
        <f>T441-('FMTC Main'!$E$27-V441)</f>
        <v>1713</v>
      </c>
      <c r="AA441" s="400" t="str">
        <f>A441&amp;" "&amp;B441&amp;" "&amp;C441</f>
        <v>2004 Opel Speedster Turbo</v>
      </c>
    </row>
    <row r="442" spans="1:27" ht="12.95" customHeight="1">
      <c r="A442" s="394">
        <v>2003</v>
      </c>
      <c r="B442" s="394" t="s">
        <v>230</v>
      </c>
      <c r="C442" s="394" t="s">
        <v>231</v>
      </c>
      <c r="D442" s="410">
        <v>1100000</v>
      </c>
      <c r="E442" s="394" t="s">
        <v>1091</v>
      </c>
      <c r="F442" s="394">
        <v>825</v>
      </c>
      <c r="G442" s="396">
        <v>7.2</v>
      </c>
      <c r="H442" s="396">
        <v>8.3000000000000007</v>
      </c>
      <c r="I442" s="396">
        <v>9.1999999999999993</v>
      </c>
      <c r="J442" s="396">
        <v>8.3000000000000007</v>
      </c>
      <c r="K442" s="396">
        <v>8.3000000000000007</v>
      </c>
      <c r="L442" s="394" t="s">
        <v>1084</v>
      </c>
      <c r="M442" s="394"/>
      <c r="N442" s="389">
        <f>AVERAGE(H442,I442,K442)</f>
        <v>8.6</v>
      </c>
      <c r="O442" s="397">
        <v>2425</v>
      </c>
      <c r="P442" s="398">
        <v>1933</v>
      </c>
      <c r="Q442" s="397">
        <v>1151</v>
      </c>
      <c r="R442" s="397">
        <v>1675</v>
      </c>
      <c r="S442" s="397">
        <v>1660</v>
      </c>
      <c r="T442" s="397">
        <v>2730</v>
      </c>
      <c r="U442" s="397">
        <v>290</v>
      </c>
      <c r="V442" s="397">
        <v>325</v>
      </c>
      <c r="W442" s="397">
        <v>355</v>
      </c>
      <c r="X442" s="397">
        <v>355</v>
      </c>
      <c r="Y442" s="399">
        <f>S442-('FMTC Main'!$E$22-U442)</f>
        <v>1950</v>
      </c>
      <c r="Z442" s="399">
        <f>T442-('FMTC Main'!$E$27-V442)</f>
        <v>3055</v>
      </c>
      <c r="AA442" s="400" t="str">
        <f>A442&amp;" "&amp;B442&amp;" "&amp;C442</f>
        <v>2003 Pagani #17 Carsport America Zonda GR</v>
      </c>
    </row>
    <row r="443" spans="1:27" ht="12.95" customHeight="1">
      <c r="A443" s="402">
        <v>2012</v>
      </c>
      <c r="B443" s="402" t="s">
        <v>230</v>
      </c>
      <c r="C443" s="402" t="s">
        <v>1155</v>
      </c>
      <c r="D443" s="403">
        <v>1800000</v>
      </c>
      <c r="E443" s="402" t="s">
        <v>1094</v>
      </c>
      <c r="F443" s="402">
        <v>713</v>
      </c>
      <c r="G443" s="404">
        <v>10</v>
      </c>
      <c r="H443" s="404">
        <v>6.2</v>
      </c>
      <c r="I443" s="404">
        <v>9</v>
      </c>
      <c r="J443" s="404">
        <v>8.1</v>
      </c>
      <c r="K443" s="404">
        <v>6.1</v>
      </c>
      <c r="L443" s="402" t="s">
        <v>1084</v>
      </c>
      <c r="M443" s="402" t="s">
        <v>1154</v>
      </c>
      <c r="N443" s="389">
        <f>AVERAGE(H443,I443,K443)</f>
        <v>7.0999999999999988</v>
      </c>
      <c r="O443" s="405">
        <v>3153</v>
      </c>
      <c r="P443" s="405">
        <v>2036</v>
      </c>
      <c r="Q443" s="405">
        <v>1169</v>
      </c>
      <c r="R443" s="405">
        <v>2795</v>
      </c>
      <c r="S443" s="405">
        <v>1745</v>
      </c>
      <c r="T443" s="405">
        <v>1730</v>
      </c>
      <c r="U443" s="405">
        <v>255</v>
      </c>
      <c r="V443" s="405">
        <v>335</v>
      </c>
      <c r="W443" s="405">
        <v>381</v>
      </c>
      <c r="X443" s="405">
        <v>381</v>
      </c>
      <c r="Y443" s="406">
        <f>S443-('FMTC Main'!$E$22-U443)</f>
        <v>2000</v>
      </c>
      <c r="Z443" s="406">
        <f>T443-('FMTC Main'!$E$27-V443)</f>
        <v>2065</v>
      </c>
      <c r="AA443" s="407" t="str">
        <f>A443&amp;" "&amp;B443&amp;" "&amp;C443</f>
        <v>2012 Pagani Huayra</v>
      </c>
    </row>
    <row r="444" spans="1:27" ht="12.95" customHeight="1">
      <c r="A444" s="394">
        <v>1999</v>
      </c>
      <c r="B444" s="394" t="s">
        <v>230</v>
      </c>
      <c r="C444" s="394" t="s">
        <v>232</v>
      </c>
      <c r="D444" s="410">
        <v>500000</v>
      </c>
      <c r="E444" s="394" t="s">
        <v>1092</v>
      </c>
      <c r="F444" s="394">
        <v>626</v>
      </c>
      <c r="G444" s="396">
        <v>7.3</v>
      </c>
      <c r="H444" s="396">
        <v>6.4</v>
      </c>
      <c r="I444" s="396">
        <v>8.4</v>
      </c>
      <c r="J444" s="396">
        <v>8.1</v>
      </c>
      <c r="K444" s="396">
        <v>6.3</v>
      </c>
      <c r="L444" s="394" t="s">
        <v>1084</v>
      </c>
      <c r="M444" s="394"/>
      <c r="N444" s="389">
        <f>AVERAGE(H444,I444,K444)</f>
        <v>7.0333333333333341</v>
      </c>
      <c r="O444" s="397">
        <v>2756</v>
      </c>
      <c r="P444" s="398">
        <v>2055</v>
      </c>
      <c r="Q444" s="397">
        <v>1151</v>
      </c>
      <c r="R444" s="397">
        <v>2730</v>
      </c>
      <c r="S444" s="397">
        <v>1675</v>
      </c>
      <c r="T444" s="397">
        <v>1660</v>
      </c>
      <c r="U444" s="397">
        <v>255</v>
      </c>
      <c r="V444" s="397">
        <v>345</v>
      </c>
      <c r="W444" s="397">
        <v>355</v>
      </c>
      <c r="X444" s="397">
        <v>335</v>
      </c>
      <c r="Y444" s="399">
        <f>S444-('FMTC Main'!$E$22-U444)</f>
        <v>1930</v>
      </c>
      <c r="Z444" s="399">
        <f>T444-('FMTC Main'!$E$27-V444)</f>
        <v>2005</v>
      </c>
      <c r="AA444" s="400" t="str">
        <f>A444&amp;" "&amp;B444&amp;" "&amp;C444</f>
        <v>1999 Pagani Zonda C12</v>
      </c>
    </row>
    <row r="445" spans="1:27" ht="12.95" customHeight="1">
      <c r="A445" s="394">
        <v>2009</v>
      </c>
      <c r="B445" s="394" t="s">
        <v>230</v>
      </c>
      <c r="C445" s="394" t="s">
        <v>946</v>
      </c>
      <c r="D445" s="410">
        <v>1500000</v>
      </c>
      <c r="E445" s="394" t="s">
        <v>1094</v>
      </c>
      <c r="F445" s="394">
        <v>725</v>
      </c>
      <c r="G445" s="396">
        <v>8.6</v>
      </c>
      <c r="H445" s="396">
        <v>7</v>
      </c>
      <c r="I445" s="396">
        <v>8.9</v>
      </c>
      <c r="J445" s="396">
        <v>8</v>
      </c>
      <c r="K445" s="396">
        <v>6.9</v>
      </c>
      <c r="L445" s="394" t="s">
        <v>1084</v>
      </c>
      <c r="M445" s="394"/>
      <c r="N445" s="389">
        <f>AVERAGE(H445,I445,K445)</f>
        <v>7.6000000000000005</v>
      </c>
      <c r="O445" s="397">
        <v>2858</v>
      </c>
      <c r="P445" s="398">
        <v>2055</v>
      </c>
      <c r="Q445" s="397">
        <v>1141</v>
      </c>
      <c r="R445" s="397">
        <v>2730</v>
      </c>
      <c r="S445" s="397">
        <v>1675</v>
      </c>
      <c r="T445" s="397">
        <v>1660</v>
      </c>
      <c r="U445" s="397">
        <v>255</v>
      </c>
      <c r="V445" s="397">
        <v>335</v>
      </c>
      <c r="W445" s="397">
        <v>380</v>
      </c>
      <c r="X445" s="397">
        <v>380</v>
      </c>
      <c r="Y445" s="399">
        <f>S445-('FMTC Main'!$E$22-U445)</f>
        <v>1930</v>
      </c>
      <c r="Z445" s="399">
        <f>T445-('FMTC Main'!$E$27-V445)</f>
        <v>1995</v>
      </c>
      <c r="AA445" s="400" t="str">
        <f>A445&amp;" "&amp;B445&amp;" "&amp;C445</f>
        <v>2009 Pagani Zonda Cinque Roadster</v>
      </c>
    </row>
    <row r="446" spans="1:27" ht="12.95" customHeight="1">
      <c r="A446" s="394">
        <v>2010</v>
      </c>
      <c r="B446" s="394" t="s">
        <v>230</v>
      </c>
      <c r="C446" s="394" t="s">
        <v>947</v>
      </c>
      <c r="D446" s="410">
        <v>1700000</v>
      </c>
      <c r="E446" s="394" t="s">
        <v>1091</v>
      </c>
      <c r="F446" s="394">
        <v>872</v>
      </c>
      <c r="G446" s="396">
        <v>10</v>
      </c>
      <c r="H446" s="396">
        <v>8.3000000000000007</v>
      </c>
      <c r="I446" s="396">
        <v>9.4</v>
      </c>
      <c r="J446" s="396">
        <v>8.4</v>
      </c>
      <c r="K446" s="396">
        <v>8.1999999999999993</v>
      </c>
      <c r="L446" s="394" t="s">
        <v>1084</v>
      </c>
      <c r="M446" s="394"/>
      <c r="N446" s="389">
        <f>AVERAGE(H446,I446,K446)</f>
        <v>8.6333333333333346</v>
      </c>
      <c r="O446" s="397">
        <v>2536</v>
      </c>
      <c r="P446" s="398">
        <v>2014</v>
      </c>
      <c r="Q446" s="397">
        <v>1141</v>
      </c>
      <c r="R446" s="397">
        <v>2782</v>
      </c>
      <c r="S446" s="397">
        <v>1675</v>
      </c>
      <c r="T446" s="397">
        <v>1660</v>
      </c>
      <c r="U446" s="397">
        <v>255</v>
      </c>
      <c r="V446" s="397">
        <v>335</v>
      </c>
      <c r="W446" s="397">
        <v>380</v>
      </c>
      <c r="X446" s="397">
        <v>380</v>
      </c>
      <c r="Y446" s="399">
        <f>S446-('FMTC Main'!$E$22-U446)</f>
        <v>1930</v>
      </c>
      <c r="Z446" s="399">
        <f>T446-('FMTC Main'!$E$27-V446)</f>
        <v>1995</v>
      </c>
      <c r="AA446" s="400" t="str">
        <f>A446&amp;" "&amp;B446&amp;" "&amp;C446</f>
        <v>2010 Pagani Zonda R</v>
      </c>
    </row>
    <row r="447" spans="1:27" ht="12.95" customHeight="1">
      <c r="A447" s="394">
        <v>2003</v>
      </c>
      <c r="B447" s="394" t="s">
        <v>233</v>
      </c>
      <c r="C447" s="394" t="s">
        <v>334</v>
      </c>
      <c r="D447" s="410">
        <v>2200000</v>
      </c>
      <c r="E447" s="394" t="s">
        <v>1086</v>
      </c>
      <c r="F447" s="394">
        <v>967</v>
      </c>
      <c r="G447" s="396">
        <v>8.8000000000000007</v>
      </c>
      <c r="H447" s="396">
        <v>9.8000000000000007</v>
      </c>
      <c r="I447" s="396">
        <v>9.6999999999999993</v>
      </c>
      <c r="J447" s="396">
        <v>8.5</v>
      </c>
      <c r="K447" s="396">
        <v>9.8000000000000007</v>
      </c>
      <c r="L447" s="394" t="s">
        <v>1075</v>
      </c>
      <c r="M447" s="394"/>
      <c r="N447" s="389">
        <f>AVERAGE(H447,I447,K447)</f>
        <v>9.7666666666666675</v>
      </c>
      <c r="O447" s="397">
        <v>2057</v>
      </c>
      <c r="P447" s="398">
        <v>1996</v>
      </c>
      <c r="Q447" s="397">
        <v>1069</v>
      </c>
      <c r="R447" s="397">
        <v>2747</v>
      </c>
      <c r="S447" s="397">
        <v>1646</v>
      </c>
      <c r="T447" s="397">
        <v>1605</v>
      </c>
      <c r="U447" s="397">
        <v>330</v>
      </c>
      <c r="V447" s="397">
        <v>370</v>
      </c>
      <c r="W447" s="397">
        <v>380</v>
      </c>
      <c r="X447" s="397">
        <v>380</v>
      </c>
      <c r="Y447" s="399">
        <f>S447-('FMTC Main'!$E$22-U447)</f>
        <v>1976</v>
      </c>
      <c r="Z447" s="399">
        <f>T447-('FMTC Main'!$E$27-V447)</f>
        <v>1975</v>
      </c>
      <c r="AA447" s="400" t="str">
        <f>A447&amp;" "&amp;B447&amp;" "&amp;C447</f>
        <v>2003 Panoz #11 JML Team Panoz LMP-01</v>
      </c>
    </row>
    <row r="448" spans="1:27" ht="12.95" customHeight="1">
      <c r="A448" s="394">
        <v>2005</v>
      </c>
      <c r="B448" s="394" t="s">
        <v>233</v>
      </c>
      <c r="C448" s="394" t="s">
        <v>948</v>
      </c>
      <c r="D448" s="410">
        <v>1000000</v>
      </c>
      <c r="E448" s="394" t="s">
        <v>1091</v>
      </c>
      <c r="F448" s="394">
        <v>752</v>
      </c>
      <c r="G448" s="396">
        <v>7.3</v>
      </c>
      <c r="H448" s="396">
        <v>7.9</v>
      </c>
      <c r="I448" s="396">
        <v>8.6999999999999993</v>
      </c>
      <c r="J448" s="396">
        <v>8</v>
      </c>
      <c r="K448" s="396">
        <v>7.8</v>
      </c>
      <c r="L448" s="394" t="s">
        <v>1075</v>
      </c>
      <c r="M448" s="394"/>
      <c r="N448" s="389">
        <f>AVERAGE(H448,I448,K448)</f>
        <v>8.1333333333333346</v>
      </c>
      <c r="O448" s="397">
        <v>2646</v>
      </c>
      <c r="P448" s="398">
        <v>1857</v>
      </c>
      <c r="Q448" s="397">
        <v>1306</v>
      </c>
      <c r="R448" s="397">
        <v>2690</v>
      </c>
      <c r="S448" s="397">
        <v>1608</v>
      </c>
      <c r="T448" s="397">
        <v>1626</v>
      </c>
      <c r="U448" s="397">
        <v>305</v>
      </c>
      <c r="V448" s="397">
        <v>325</v>
      </c>
      <c r="W448" s="397">
        <v>380</v>
      </c>
      <c r="X448" s="397">
        <v>355</v>
      </c>
      <c r="Y448" s="399">
        <f>S448-('FMTC Main'!$E$22-U448)</f>
        <v>1913</v>
      </c>
      <c r="Z448" s="399">
        <f>T448-('FMTC Main'!$E$27-V448)</f>
        <v>1951</v>
      </c>
      <c r="AA448" s="400" t="str">
        <f>A448&amp;" "&amp;B448&amp;" "&amp;C448</f>
        <v>2005 Panoz #51 Esperante GTLM</v>
      </c>
    </row>
    <row r="449" spans="1:27" ht="12.95" customHeight="1">
      <c r="A449" s="394">
        <v>2005</v>
      </c>
      <c r="B449" s="394" t="s">
        <v>233</v>
      </c>
      <c r="C449" s="394" t="s">
        <v>234</v>
      </c>
      <c r="D449" s="410">
        <v>80000</v>
      </c>
      <c r="E449" s="394" t="s">
        <v>349</v>
      </c>
      <c r="F449" s="394">
        <v>527</v>
      </c>
      <c r="G449" s="396">
        <v>8.9</v>
      </c>
      <c r="H449" s="396">
        <v>5.0999999999999996</v>
      </c>
      <c r="I449" s="396">
        <v>7.8</v>
      </c>
      <c r="J449" s="396">
        <v>7</v>
      </c>
      <c r="K449" s="396">
        <v>4.9000000000000004</v>
      </c>
      <c r="L449" s="394" t="s">
        <v>1075</v>
      </c>
      <c r="M449" s="394"/>
      <c r="N449" s="389">
        <f>AVERAGE(H449,I449,K449)</f>
        <v>5.9333333333333327</v>
      </c>
      <c r="O449" s="397">
        <v>3384</v>
      </c>
      <c r="P449" s="398">
        <v>1857</v>
      </c>
      <c r="Q449" s="397">
        <v>1306</v>
      </c>
      <c r="R449" s="397">
        <v>2692</v>
      </c>
      <c r="S449" s="397">
        <v>1608</v>
      </c>
      <c r="T449" s="397">
        <v>1626</v>
      </c>
      <c r="U449" s="397">
        <v>255</v>
      </c>
      <c r="V449" s="397">
        <v>255</v>
      </c>
      <c r="W449" s="397">
        <v>330</v>
      </c>
      <c r="X449" s="397">
        <v>297</v>
      </c>
      <c r="Y449" s="399">
        <f>S449-('FMTC Main'!$E$22-U449)</f>
        <v>1863</v>
      </c>
      <c r="Z449" s="399">
        <f>T449-('FMTC Main'!$E$27-V449)</f>
        <v>1881</v>
      </c>
      <c r="AA449" s="400" t="str">
        <f>A449&amp;" "&amp;B449&amp;" "&amp;C449</f>
        <v>2005 Panoz Esperante GTLM</v>
      </c>
    </row>
    <row r="450" spans="1:27" ht="12.95" customHeight="1">
      <c r="A450" s="394">
        <v>2011</v>
      </c>
      <c r="B450" s="394" t="s">
        <v>235</v>
      </c>
      <c r="C450" s="394">
        <v>107</v>
      </c>
      <c r="D450" s="410">
        <v>10000</v>
      </c>
      <c r="E450" s="394" t="s">
        <v>1099</v>
      </c>
      <c r="F450" s="394">
        <v>102</v>
      </c>
      <c r="G450" s="396">
        <v>3</v>
      </c>
      <c r="H450" s="396">
        <v>4.3</v>
      </c>
      <c r="I450" s="396">
        <v>3.3</v>
      </c>
      <c r="J450" s="396">
        <v>3.7</v>
      </c>
      <c r="K450" s="396">
        <v>4.3</v>
      </c>
      <c r="L450" s="394" t="s">
        <v>1097</v>
      </c>
      <c r="M450" s="394"/>
      <c r="N450" s="389">
        <f>AVERAGE(H450,I450,K450)</f>
        <v>3.9666666666666663</v>
      </c>
      <c r="O450" s="397">
        <v>1742</v>
      </c>
      <c r="P450" s="398">
        <v>1630</v>
      </c>
      <c r="Q450" s="397">
        <v>1470</v>
      </c>
      <c r="R450" s="397">
        <v>2340</v>
      </c>
      <c r="S450" s="397">
        <v>1415</v>
      </c>
      <c r="T450" s="397">
        <v>1405</v>
      </c>
      <c r="U450" s="397">
        <v>155</v>
      </c>
      <c r="V450" s="397">
        <v>155</v>
      </c>
      <c r="W450" s="397">
        <v>247</v>
      </c>
      <c r="X450" s="397">
        <v>233</v>
      </c>
      <c r="Y450" s="399">
        <f>S450-('FMTC Main'!$E$22-U450)</f>
        <v>1570</v>
      </c>
      <c r="Z450" s="399">
        <f>T450-('FMTC Main'!$E$27-V450)</f>
        <v>1560</v>
      </c>
      <c r="AA450" s="400" t="str">
        <f>A450&amp;" "&amp;B450&amp;" "&amp;C450</f>
        <v>2011 Peugeot 107</v>
      </c>
    </row>
    <row r="451" spans="1:27" ht="12.95" customHeight="1">
      <c r="A451" s="394">
        <v>2011</v>
      </c>
      <c r="B451" s="394" t="s">
        <v>235</v>
      </c>
      <c r="C451" s="394" t="s">
        <v>950</v>
      </c>
      <c r="D451" s="410">
        <v>2500000</v>
      </c>
      <c r="E451" s="394" t="s">
        <v>1086</v>
      </c>
      <c r="F451" s="394">
        <v>998</v>
      </c>
      <c r="G451" s="396">
        <v>9.3000000000000007</v>
      </c>
      <c r="H451" s="396">
        <v>9.8000000000000007</v>
      </c>
      <c r="I451" s="396">
        <v>10</v>
      </c>
      <c r="J451" s="396">
        <v>8.9</v>
      </c>
      <c r="K451" s="396">
        <v>9.8000000000000007</v>
      </c>
      <c r="L451" s="394" t="s">
        <v>1097</v>
      </c>
      <c r="M451" s="394"/>
      <c r="N451" s="389">
        <f>AVERAGE(H451,I451,K451)</f>
        <v>9.8666666666666671</v>
      </c>
      <c r="O451" s="397">
        <v>2039</v>
      </c>
      <c r="P451" s="398">
        <v>2000</v>
      </c>
      <c r="Q451" s="397">
        <v>1030</v>
      </c>
      <c r="R451" s="397">
        <v>2950</v>
      </c>
      <c r="S451" s="397">
        <v>2000</v>
      </c>
      <c r="T451" s="397">
        <v>2000</v>
      </c>
      <c r="U451" s="397">
        <v>330</v>
      </c>
      <c r="V451" s="397">
        <v>370</v>
      </c>
      <c r="W451" s="397">
        <v>380</v>
      </c>
      <c r="X451" s="397">
        <v>355</v>
      </c>
      <c r="Y451" s="399">
        <f>S451-('FMTC Main'!$E$22-U451)</f>
        <v>2330</v>
      </c>
      <c r="Z451" s="399">
        <f>T451-('FMTC Main'!$E$27-V451)</f>
        <v>2370</v>
      </c>
      <c r="AA451" s="400" t="str">
        <f>A451&amp;" "&amp;B451&amp;" "&amp;C451</f>
        <v>2011 Peugeot #10 Matmut-Oreca 908 HDi FAP</v>
      </c>
    </row>
    <row r="452" spans="1:27" ht="12.95" customHeight="1">
      <c r="A452" s="394">
        <v>1993</v>
      </c>
      <c r="B452" s="394" t="s">
        <v>235</v>
      </c>
      <c r="C452" s="394" t="s">
        <v>319</v>
      </c>
      <c r="D452" s="395">
        <v>2200000</v>
      </c>
      <c r="E452" s="394" t="s">
        <v>1086</v>
      </c>
      <c r="F452" s="394">
        <v>973</v>
      </c>
      <c r="G452" s="396">
        <v>8.6999999999999993</v>
      </c>
      <c r="H452" s="396">
        <v>9.9</v>
      </c>
      <c r="I452" s="396">
        <v>9.6999999999999993</v>
      </c>
      <c r="J452" s="396">
        <v>8.5</v>
      </c>
      <c r="K452" s="396">
        <v>9.9</v>
      </c>
      <c r="L452" s="394" t="s">
        <v>1097</v>
      </c>
      <c r="M452" s="394"/>
      <c r="N452" s="389">
        <f>AVERAGE(H452,I452,K452)</f>
        <v>9.8333333333333339</v>
      </c>
      <c r="O452" s="397">
        <v>2039</v>
      </c>
      <c r="P452" s="398">
        <v>1960</v>
      </c>
      <c r="Q452" s="397">
        <v>1040</v>
      </c>
      <c r="R452" s="397">
        <v>2800</v>
      </c>
      <c r="S452" s="397">
        <v>1630</v>
      </c>
      <c r="T452" s="397">
        <v>1550</v>
      </c>
      <c r="U452" s="397">
        <v>320</v>
      </c>
      <c r="V452" s="397">
        <v>360</v>
      </c>
      <c r="W452" s="397">
        <v>380</v>
      </c>
      <c r="X452" s="397">
        <v>355</v>
      </c>
      <c r="Y452" s="399">
        <f>S452-('FMTC Main'!$E$22-U452)</f>
        <v>1950</v>
      </c>
      <c r="Z452" s="399">
        <f>T452-('FMTC Main'!$E$27-V452)</f>
        <v>1910</v>
      </c>
      <c r="AA452" s="400" t="str">
        <f>A452&amp;" "&amp;B452&amp;" "&amp;C452</f>
        <v>1993 Peugeot #3 Peugeot Talbot Sport 905 EVO 1C</v>
      </c>
    </row>
    <row r="453" spans="1:27" ht="12.95" customHeight="1">
      <c r="A453" s="394">
        <v>2009</v>
      </c>
      <c r="B453" s="394" t="s">
        <v>235</v>
      </c>
      <c r="C453" s="394" t="s">
        <v>949</v>
      </c>
      <c r="D453" s="410">
        <v>2500000</v>
      </c>
      <c r="E453" s="394" t="s">
        <v>1086</v>
      </c>
      <c r="F453" s="394">
        <v>998</v>
      </c>
      <c r="G453" s="396">
        <v>9.3000000000000007</v>
      </c>
      <c r="H453" s="396">
        <v>9.8000000000000007</v>
      </c>
      <c r="I453" s="396">
        <v>10</v>
      </c>
      <c r="J453" s="396">
        <v>8.9</v>
      </c>
      <c r="K453" s="396">
        <v>9.8000000000000007</v>
      </c>
      <c r="L453" s="394" t="s">
        <v>1097</v>
      </c>
      <c r="M453" s="394"/>
      <c r="N453" s="389">
        <f>AVERAGE(H453,I453,K453)</f>
        <v>9.8666666666666671</v>
      </c>
      <c r="O453" s="397">
        <v>2039</v>
      </c>
      <c r="P453" s="398">
        <v>2000</v>
      </c>
      <c r="Q453" s="397">
        <v>1030</v>
      </c>
      <c r="R453" s="397">
        <v>2950</v>
      </c>
      <c r="S453" s="397">
        <v>2000</v>
      </c>
      <c r="T453" s="397">
        <v>2000</v>
      </c>
      <c r="U453" s="397">
        <v>330</v>
      </c>
      <c r="V453" s="397">
        <v>370</v>
      </c>
      <c r="W453" s="397">
        <v>380</v>
      </c>
      <c r="X453" s="397">
        <v>355</v>
      </c>
      <c r="Y453" s="399">
        <f>S453-('FMTC Main'!$E$22-U453)</f>
        <v>2330</v>
      </c>
      <c r="Z453" s="399">
        <f>T453-('FMTC Main'!$E$27-V453)</f>
        <v>2370</v>
      </c>
      <c r="AA453" s="400" t="str">
        <f>A453&amp;" "&amp;B453&amp;" "&amp;C453</f>
        <v>2009 Peugeot #9 Peugeot Sport Total 908 HDi FAP</v>
      </c>
    </row>
    <row r="454" spans="1:27" ht="12.95" customHeight="1">
      <c r="A454" s="394">
        <v>2004</v>
      </c>
      <c r="B454" s="394" t="s">
        <v>235</v>
      </c>
      <c r="C454" s="394" t="s">
        <v>236</v>
      </c>
      <c r="D454" s="410">
        <v>14000</v>
      </c>
      <c r="E454" s="394" t="s">
        <v>1087</v>
      </c>
      <c r="F454" s="394">
        <v>353</v>
      </c>
      <c r="G454" s="396">
        <v>4.0999999999999996</v>
      </c>
      <c r="H454" s="396">
        <v>4.0999999999999996</v>
      </c>
      <c r="I454" s="396">
        <v>6.3</v>
      </c>
      <c r="J454" s="396">
        <v>6.5</v>
      </c>
      <c r="K454" s="396">
        <v>4</v>
      </c>
      <c r="L454" s="394" t="s">
        <v>1097</v>
      </c>
      <c r="M454" s="394"/>
      <c r="N454" s="389">
        <f>AVERAGE(H454,I454,K454)</f>
        <v>4.8</v>
      </c>
      <c r="O454" s="397">
        <v>2425</v>
      </c>
      <c r="P454" s="398">
        <v>1673</v>
      </c>
      <c r="Q454" s="397">
        <v>1428</v>
      </c>
      <c r="R454" s="397">
        <v>2442</v>
      </c>
      <c r="S454" s="397">
        <v>1437</v>
      </c>
      <c r="T454" s="397">
        <v>1428</v>
      </c>
      <c r="U454" s="397">
        <v>205</v>
      </c>
      <c r="V454" s="397">
        <v>205</v>
      </c>
      <c r="W454" s="397">
        <v>283</v>
      </c>
      <c r="X454" s="397">
        <v>247</v>
      </c>
      <c r="Y454" s="399">
        <f>S454-('FMTC Main'!$E$22-U454)</f>
        <v>1642</v>
      </c>
      <c r="Z454" s="399">
        <f>T454-('FMTC Main'!$E$27-V454)</f>
        <v>1633</v>
      </c>
      <c r="AA454" s="400" t="str">
        <f>A454&amp;" "&amp;B454&amp;" "&amp;C454</f>
        <v>2004 Peugeot 206 RC</v>
      </c>
    </row>
    <row r="455" spans="1:27" ht="12.95" customHeight="1">
      <c r="A455" s="394">
        <v>2007</v>
      </c>
      <c r="B455" s="394" t="s">
        <v>235</v>
      </c>
      <c r="C455" s="394" t="s">
        <v>237</v>
      </c>
      <c r="D455" s="410">
        <v>16000</v>
      </c>
      <c r="E455" s="394" t="s">
        <v>1085</v>
      </c>
      <c r="F455" s="394">
        <v>332</v>
      </c>
      <c r="G455" s="396">
        <v>4.2</v>
      </c>
      <c r="H455" s="396">
        <v>4.8</v>
      </c>
      <c r="I455" s="396">
        <v>5.4</v>
      </c>
      <c r="J455" s="396">
        <v>6</v>
      </c>
      <c r="K455" s="396">
        <v>4.7</v>
      </c>
      <c r="L455" s="394" t="s">
        <v>1097</v>
      </c>
      <c r="M455" s="394"/>
      <c r="N455" s="389">
        <f>AVERAGE(H455,I455,K455)</f>
        <v>4.9666666666666659</v>
      </c>
      <c r="O455" s="397">
        <v>2921</v>
      </c>
      <c r="P455" s="398">
        <v>1748</v>
      </c>
      <c r="Q455" s="397">
        <v>1472</v>
      </c>
      <c r="R455" s="397">
        <v>2540</v>
      </c>
      <c r="S455" s="397">
        <v>1471</v>
      </c>
      <c r="T455" s="397">
        <v>1471</v>
      </c>
      <c r="U455" s="397">
        <v>205</v>
      </c>
      <c r="V455" s="397">
        <v>205</v>
      </c>
      <c r="W455" s="397">
        <v>302</v>
      </c>
      <c r="X455" s="397">
        <v>249</v>
      </c>
      <c r="Y455" s="399">
        <f>S455-('FMTC Main'!$E$22-U455)</f>
        <v>1676</v>
      </c>
      <c r="Z455" s="399">
        <f>T455-('FMTC Main'!$E$27-V455)</f>
        <v>1676</v>
      </c>
      <c r="AA455" s="400" t="str">
        <f>A455&amp;" "&amp;B455&amp;" "&amp;C455</f>
        <v>2007 Peugeot 207 RC</v>
      </c>
    </row>
    <row r="456" spans="1:27" ht="12.95" customHeight="1">
      <c r="A456" s="394">
        <v>2007</v>
      </c>
      <c r="B456" s="394" t="s">
        <v>235</v>
      </c>
      <c r="C456" s="394" t="s">
        <v>238</v>
      </c>
      <c r="D456" s="410">
        <v>150000</v>
      </c>
      <c r="E456" s="394" t="s">
        <v>349</v>
      </c>
      <c r="F456" s="394">
        <v>569</v>
      </c>
      <c r="G456" s="396">
        <v>4.7</v>
      </c>
      <c r="H456" s="396">
        <v>6.1</v>
      </c>
      <c r="I456" s="396">
        <v>7.4</v>
      </c>
      <c r="J456" s="396">
        <v>6.7</v>
      </c>
      <c r="K456" s="396">
        <v>6.1</v>
      </c>
      <c r="L456" s="394" t="s">
        <v>1097</v>
      </c>
      <c r="M456" s="394"/>
      <c r="N456" s="389">
        <f>AVERAGE(H456,I456,K456)</f>
        <v>6.5333333333333341</v>
      </c>
      <c r="O456" s="397">
        <v>2425</v>
      </c>
      <c r="P456" s="398">
        <v>1800</v>
      </c>
      <c r="Q456" s="397">
        <v>1376</v>
      </c>
      <c r="R456" s="397">
        <v>2560</v>
      </c>
      <c r="S456" s="397">
        <v>1475</v>
      </c>
      <c r="T456" s="397">
        <v>1468</v>
      </c>
      <c r="U456" s="397">
        <v>235</v>
      </c>
      <c r="V456" s="397">
        <v>235</v>
      </c>
      <c r="W456" s="397">
        <v>355</v>
      </c>
      <c r="X456" s="397">
        <v>300</v>
      </c>
      <c r="Y456" s="399">
        <f>S456-('FMTC Main'!$E$22-U456)</f>
        <v>1710</v>
      </c>
      <c r="Z456" s="399">
        <f>T456-('FMTC Main'!$E$27-V456)</f>
        <v>1703</v>
      </c>
      <c r="AA456" s="400" t="str">
        <f>A456&amp;" "&amp;B456&amp;" "&amp;C456</f>
        <v>2007 Peugeot 207 Super 2000</v>
      </c>
    </row>
    <row r="457" spans="1:27" ht="12.95" customHeight="1">
      <c r="A457" s="394">
        <v>2011</v>
      </c>
      <c r="B457" s="394" t="s">
        <v>235</v>
      </c>
      <c r="C457" s="394" t="s">
        <v>951</v>
      </c>
      <c r="D457" s="395">
        <v>32000</v>
      </c>
      <c r="E457" s="394" t="s">
        <v>1085</v>
      </c>
      <c r="F457" s="394">
        <v>300</v>
      </c>
      <c r="G457" s="396">
        <v>4.5</v>
      </c>
      <c r="H457" s="396">
        <v>4.3</v>
      </c>
      <c r="I457" s="396">
        <v>5.3</v>
      </c>
      <c r="J457" s="396">
        <v>5.8</v>
      </c>
      <c r="K457" s="396">
        <v>4.0999999999999996</v>
      </c>
      <c r="L457" s="394" t="s">
        <v>1097</v>
      </c>
      <c r="M457" s="394"/>
      <c r="N457" s="389">
        <f>AVERAGE(H457,I457,K457)</f>
        <v>4.5666666666666664</v>
      </c>
      <c r="O457" s="397">
        <v>3113</v>
      </c>
      <c r="P457" s="398">
        <v>1815</v>
      </c>
      <c r="Q457" s="397">
        <v>1498</v>
      </c>
      <c r="R457" s="397">
        <v>2608</v>
      </c>
      <c r="S457" s="397">
        <v>1535</v>
      </c>
      <c r="T457" s="397">
        <v>1521</v>
      </c>
      <c r="U457" s="397">
        <v>225</v>
      </c>
      <c r="V457" s="397">
        <v>225</v>
      </c>
      <c r="W457" s="397">
        <v>340</v>
      </c>
      <c r="X457" s="397">
        <v>290</v>
      </c>
      <c r="Y457" s="399">
        <f>S457-('FMTC Main'!$E$22-U457)</f>
        <v>1760</v>
      </c>
      <c r="Z457" s="399">
        <f>T457-('FMTC Main'!$E$27-V457)</f>
        <v>1746</v>
      </c>
      <c r="AA457" s="400" t="str">
        <f>A457&amp;" "&amp;B457&amp;" "&amp;C457</f>
        <v>2011 Peugeot 308 GTi</v>
      </c>
    </row>
    <row r="458" spans="1:27" ht="12.95" customHeight="1">
      <c r="A458" s="394">
        <v>2010</v>
      </c>
      <c r="B458" s="394" t="s">
        <v>235</v>
      </c>
      <c r="C458" s="394" t="s">
        <v>710</v>
      </c>
      <c r="D458" s="410">
        <v>34000</v>
      </c>
      <c r="E458" s="394" t="s">
        <v>1087</v>
      </c>
      <c r="F458" s="394">
        <v>370</v>
      </c>
      <c r="G458" s="396">
        <v>4.8</v>
      </c>
      <c r="H458" s="396">
        <v>5</v>
      </c>
      <c r="I458" s="396">
        <v>5.7</v>
      </c>
      <c r="J458" s="396">
        <v>5.9</v>
      </c>
      <c r="K458" s="396">
        <v>4.8</v>
      </c>
      <c r="L458" s="394" t="s">
        <v>1097</v>
      </c>
      <c r="M458" s="394"/>
      <c r="N458" s="389">
        <f>AVERAGE(H458,I458,K458)</f>
        <v>5.166666666666667</v>
      </c>
      <c r="O458" s="397">
        <v>2875</v>
      </c>
      <c r="P458" s="398">
        <v>1845</v>
      </c>
      <c r="Q458" s="397">
        <v>1359</v>
      </c>
      <c r="R458" s="397">
        <v>2612</v>
      </c>
      <c r="S458" s="397">
        <v>1580</v>
      </c>
      <c r="T458" s="397">
        <v>1593</v>
      </c>
      <c r="U458" s="397">
        <v>235</v>
      </c>
      <c r="V458" s="397">
        <v>235</v>
      </c>
      <c r="W458" s="397">
        <v>340</v>
      </c>
      <c r="X458" s="397">
        <v>290</v>
      </c>
      <c r="Y458" s="399">
        <f>S458-('FMTC Main'!$E$22-U458)</f>
        <v>1815</v>
      </c>
      <c r="Z458" s="399">
        <f>T458-('FMTC Main'!$E$27-V458)</f>
        <v>1828</v>
      </c>
      <c r="AA458" s="400" t="str">
        <f>A458&amp;" "&amp;B458&amp;" "&amp;C458</f>
        <v>2010 Peugeot RCZ</v>
      </c>
    </row>
    <row r="459" spans="1:27" ht="12.95" customHeight="1">
      <c r="A459" s="394">
        <v>1968</v>
      </c>
      <c r="B459" s="394" t="s">
        <v>952</v>
      </c>
      <c r="C459" s="394" t="s">
        <v>953</v>
      </c>
      <c r="D459" s="410">
        <v>35000</v>
      </c>
      <c r="E459" s="394" t="s">
        <v>1085</v>
      </c>
      <c r="F459" s="394">
        <v>283</v>
      </c>
      <c r="G459" s="396">
        <v>4.7</v>
      </c>
      <c r="H459" s="396">
        <v>3.5</v>
      </c>
      <c r="I459" s="396">
        <v>6.7</v>
      </c>
      <c r="J459" s="396">
        <v>6</v>
      </c>
      <c r="K459" s="396">
        <v>3.5</v>
      </c>
      <c r="L459" s="394" t="s">
        <v>1075</v>
      </c>
      <c r="M459" s="394"/>
      <c r="N459" s="389">
        <f>AVERAGE(H459,I459,K459)</f>
        <v>4.5666666666666664</v>
      </c>
      <c r="O459" s="397">
        <v>3470</v>
      </c>
      <c r="P459" s="398">
        <v>1819</v>
      </c>
      <c r="Q459" s="397">
        <v>1341</v>
      </c>
      <c r="R459" s="397">
        <v>2743</v>
      </c>
      <c r="S459" s="397">
        <v>1458</v>
      </c>
      <c r="T459" s="397">
        <v>1412</v>
      </c>
      <c r="U459" s="397">
        <v>195</v>
      </c>
      <c r="V459" s="397">
        <v>195</v>
      </c>
      <c r="W459" s="397">
        <v>281</v>
      </c>
      <c r="X459" s="397">
        <v>254</v>
      </c>
      <c r="Y459" s="399">
        <f>S459-('FMTC Main'!$E$22-U459)</f>
        <v>1653</v>
      </c>
      <c r="Z459" s="399">
        <f>T459-('FMTC Main'!$E$27-V459)</f>
        <v>1607</v>
      </c>
      <c r="AA459" s="400" t="str">
        <f>A459&amp;" "&amp;B459&amp;" "&amp;C459</f>
        <v>1968 Plymouth Barracuda Formula-S</v>
      </c>
    </row>
    <row r="460" spans="1:27" ht="12.95" customHeight="1">
      <c r="A460" s="394">
        <v>1971</v>
      </c>
      <c r="B460" s="394" t="s">
        <v>952</v>
      </c>
      <c r="C460" s="394" t="s">
        <v>954</v>
      </c>
      <c r="D460" s="410">
        <v>120000</v>
      </c>
      <c r="E460" s="394" t="s">
        <v>1087</v>
      </c>
      <c r="F460" s="394">
        <v>371</v>
      </c>
      <c r="G460" s="396">
        <v>5.3</v>
      </c>
      <c r="H460" s="396">
        <v>3.9</v>
      </c>
      <c r="I460" s="396">
        <v>7</v>
      </c>
      <c r="J460" s="396">
        <v>6.1</v>
      </c>
      <c r="K460" s="396">
        <v>3.8</v>
      </c>
      <c r="L460" s="394" t="s">
        <v>1075</v>
      </c>
      <c r="M460" s="394"/>
      <c r="N460" s="389">
        <f>AVERAGE(H460,I460,K460)</f>
        <v>4.8999999999999995</v>
      </c>
      <c r="O460" s="397">
        <v>3380</v>
      </c>
      <c r="P460" s="398">
        <v>1902</v>
      </c>
      <c r="Q460" s="397">
        <v>1303</v>
      </c>
      <c r="R460" s="397">
        <v>2743</v>
      </c>
      <c r="S460" s="397">
        <v>1529</v>
      </c>
      <c r="T460" s="397">
        <v>1542</v>
      </c>
      <c r="U460" s="397">
        <v>225</v>
      </c>
      <c r="V460" s="397">
        <v>225</v>
      </c>
      <c r="W460" s="397">
        <v>279</v>
      </c>
      <c r="X460" s="397">
        <v>281</v>
      </c>
      <c r="Y460" s="399">
        <f>S460-('FMTC Main'!$E$22-U460)</f>
        <v>1754</v>
      </c>
      <c r="Z460" s="399">
        <f>T460-('FMTC Main'!$E$27-V460)</f>
        <v>1767</v>
      </c>
      <c r="AA460" s="400" t="str">
        <f>A460&amp;" "&amp;B460&amp;" "&amp;C460</f>
        <v>1971 Plymouth Cuda 426 Hemi</v>
      </c>
    </row>
    <row r="461" spans="1:27" ht="12.95" customHeight="1">
      <c r="A461" s="394">
        <v>1971</v>
      </c>
      <c r="B461" s="394" t="s">
        <v>952</v>
      </c>
      <c r="C461" s="394" t="s">
        <v>955</v>
      </c>
      <c r="D461" s="410">
        <v>125000</v>
      </c>
      <c r="E461" s="394" t="s">
        <v>1085</v>
      </c>
      <c r="F461" s="394">
        <v>338</v>
      </c>
      <c r="G461" s="396">
        <v>5.2</v>
      </c>
      <c r="H461" s="396">
        <v>3.5</v>
      </c>
      <c r="I461" s="396">
        <v>7.1</v>
      </c>
      <c r="J461" s="396">
        <v>6.2</v>
      </c>
      <c r="K461" s="396">
        <v>3.5</v>
      </c>
      <c r="L461" s="394" t="s">
        <v>1075</v>
      </c>
      <c r="M461" s="394" t="s">
        <v>1100</v>
      </c>
      <c r="N461" s="389">
        <f>AVERAGE(H461,I461,K461)</f>
        <v>4.7</v>
      </c>
      <c r="O461" s="397">
        <v>3670</v>
      </c>
      <c r="P461" s="398">
        <v>1941</v>
      </c>
      <c r="Q461" s="397">
        <v>1344</v>
      </c>
      <c r="R461" s="397">
        <v>2921</v>
      </c>
      <c r="S461" s="397">
        <v>1521</v>
      </c>
      <c r="T461" s="397">
        <v>1504</v>
      </c>
      <c r="U461" s="397">
        <v>225</v>
      </c>
      <c r="V461" s="397">
        <v>225</v>
      </c>
      <c r="W461" s="397">
        <v>279</v>
      </c>
      <c r="X461" s="397">
        <v>281</v>
      </c>
      <c r="Y461" s="399">
        <f>S461-('FMTC Main'!$E$22-U461)</f>
        <v>1746</v>
      </c>
      <c r="Z461" s="399">
        <f>T461-('FMTC Main'!$E$27-V461)</f>
        <v>1729</v>
      </c>
      <c r="AA461" s="400" t="str">
        <f>A461&amp;" "&amp;B461&amp;" "&amp;C461</f>
        <v>1971 Plymouth GTX 426 Hemi</v>
      </c>
    </row>
    <row r="462" spans="1:27" ht="12.95" customHeight="1">
      <c r="A462" s="402">
        <v>1988</v>
      </c>
      <c r="B462" s="402" t="s">
        <v>239</v>
      </c>
      <c r="C462" s="402" t="s">
        <v>1151</v>
      </c>
      <c r="D462" s="403">
        <v>5000</v>
      </c>
      <c r="E462" s="402" t="s">
        <v>1083</v>
      </c>
      <c r="F462" s="402">
        <v>233</v>
      </c>
      <c r="G462" s="404">
        <v>3.4</v>
      </c>
      <c r="H462" s="404">
        <v>4.8</v>
      </c>
      <c r="I462" s="404">
        <v>4.9000000000000004</v>
      </c>
      <c r="J462" s="404">
        <v>5.5</v>
      </c>
      <c r="K462" s="404">
        <v>4.7</v>
      </c>
      <c r="L462" s="402" t="s">
        <v>1075</v>
      </c>
      <c r="M462" s="402" t="s">
        <v>1141</v>
      </c>
      <c r="N462" s="389">
        <f>AVERAGE(H462,I462,K462)</f>
        <v>4.8</v>
      </c>
      <c r="O462" s="405">
        <v>2790</v>
      </c>
      <c r="P462" s="405">
        <v>1750</v>
      </c>
      <c r="Q462" s="405">
        <v>1191</v>
      </c>
      <c r="R462" s="405">
        <v>2372</v>
      </c>
      <c r="S462" s="405">
        <v>1468</v>
      </c>
      <c r="T462" s="405">
        <v>1491</v>
      </c>
      <c r="U462" s="405">
        <v>215</v>
      </c>
      <c r="V462" s="405">
        <v>215</v>
      </c>
      <c r="W462" s="405">
        <v>265</v>
      </c>
      <c r="X462" s="405">
        <v>265</v>
      </c>
      <c r="Y462" s="406">
        <f>S462-('FMTC Main'!$E$22-U462)</f>
        <v>1683</v>
      </c>
      <c r="Z462" s="406">
        <f>T462-('FMTC Main'!$E$27-V462)</f>
        <v>1706</v>
      </c>
      <c r="AA462" s="407" t="str">
        <f>A462&amp;" "&amp;B462&amp;" "&amp;C462</f>
        <v>1988 Pontiac Fiero GT</v>
      </c>
    </row>
    <row r="463" spans="1:27" ht="12.95" customHeight="1">
      <c r="A463" s="394">
        <v>1968</v>
      </c>
      <c r="B463" s="394" t="s">
        <v>239</v>
      </c>
      <c r="C463" s="394" t="s">
        <v>956</v>
      </c>
      <c r="D463" s="395">
        <v>36000</v>
      </c>
      <c r="E463" s="394" t="s">
        <v>1085</v>
      </c>
      <c r="F463" s="394">
        <v>299</v>
      </c>
      <c r="G463" s="396">
        <v>3.8</v>
      </c>
      <c r="H463" s="396">
        <v>3.6</v>
      </c>
      <c r="I463" s="396">
        <v>6.8</v>
      </c>
      <c r="J463" s="396">
        <v>6</v>
      </c>
      <c r="K463" s="396">
        <v>3.6</v>
      </c>
      <c r="L463" s="394" t="s">
        <v>1075</v>
      </c>
      <c r="M463" s="394" t="s">
        <v>1100</v>
      </c>
      <c r="N463" s="389">
        <f>AVERAGE(H463,I463,K463)</f>
        <v>4.666666666666667</v>
      </c>
      <c r="O463" s="397">
        <v>3401</v>
      </c>
      <c r="P463" s="398">
        <v>1844</v>
      </c>
      <c r="Q463" s="397">
        <v>1304</v>
      </c>
      <c r="R463" s="397">
        <v>2746</v>
      </c>
      <c r="S463" s="397">
        <v>1499</v>
      </c>
      <c r="T463" s="397">
        <v>1524</v>
      </c>
      <c r="U463" s="397">
        <v>215</v>
      </c>
      <c r="V463" s="397">
        <v>215</v>
      </c>
      <c r="W463" s="397">
        <v>282</v>
      </c>
      <c r="X463" s="397">
        <v>241</v>
      </c>
      <c r="Y463" s="399">
        <f>S463-('FMTC Main'!$E$22-U463)</f>
        <v>1714</v>
      </c>
      <c r="Z463" s="399">
        <f>T463-('FMTC Main'!$E$27-V463)</f>
        <v>1739</v>
      </c>
      <c r="AA463" s="400" t="str">
        <f>A463&amp;" "&amp;B463&amp;" "&amp;C463</f>
        <v>1968 Pontiac Firebird</v>
      </c>
    </row>
    <row r="464" spans="1:27" ht="12.95" customHeight="1">
      <c r="A464" s="394">
        <v>1969</v>
      </c>
      <c r="B464" s="394" t="s">
        <v>239</v>
      </c>
      <c r="C464" s="394" t="s">
        <v>957</v>
      </c>
      <c r="D464" s="410">
        <v>45000</v>
      </c>
      <c r="E464" s="394" t="s">
        <v>1085</v>
      </c>
      <c r="F464" s="394">
        <v>302</v>
      </c>
      <c r="G464" s="396">
        <v>4.2</v>
      </c>
      <c r="H464" s="396">
        <v>3.7</v>
      </c>
      <c r="I464" s="396">
        <v>6.8</v>
      </c>
      <c r="J464" s="396">
        <v>6</v>
      </c>
      <c r="K464" s="396">
        <v>3.6</v>
      </c>
      <c r="L464" s="394" t="s">
        <v>1075</v>
      </c>
      <c r="M464" s="394"/>
      <c r="N464" s="389">
        <f>AVERAGE(H464,I464,K464)</f>
        <v>4.7</v>
      </c>
      <c r="O464" s="397">
        <v>3800</v>
      </c>
      <c r="P464" s="398">
        <v>1877</v>
      </c>
      <c r="Q464" s="397">
        <v>1260</v>
      </c>
      <c r="R464" s="397">
        <v>2746</v>
      </c>
      <c r="S464" s="397">
        <v>1524</v>
      </c>
      <c r="T464" s="397">
        <v>1524</v>
      </c>
      <c r="U464" s="397">
        <v>215</v>
      </c>
      <c r="V464" s="397">
        <v>215</v>
      </c>
      <c r="W464" s="397">
        <v>279</v>
      </c>
      <c r="X464" s="397">
        <v>241</v>
      </c>
      <c r="Y464" s="399">
        <f>S464-('FMTC Main'!$E$22-U464)</f>
        <v>1739</v>
      </c>
      <c r="Z464" s="399">
        <f>T464-('FMTC Main'!$E$27-V464)</f>
        <v>1739</v>
      </c>
      <c r="AA464" s="400" t="str">
        <f>A464&amp;" "&amp;B464&amp;" "&amp;C464</f>
        <v>1969 Pontiac Firebird Trans Am</v>
      </c>
    </row>
    <row r="465" spans="1:27" ht="12.95" customHeight="1">
      <c r="A465" s="394">
        <v>1977</v>
      </c>
      <c r="B465" s="394" t="s">
        <v>239</v>
      </c>
      <c r="C465" s="394" t="s">
        <v>957</v>
      </c>
      <c r="D465" s="410">
        <v>22000</v>
      </c>
      <c r="E465" s="394" t="s">
        <v>1083</v>
      </c>
      <c r="F465" s="394">
        <v>222</v>
      </c>
      <c r="G465" s="396">
        <v>4.2</v>
      </c>
      <c r="H465" s="396">
        <v>4</v>
      </c>
      <c r="I465" s="396">
        <v>5.2</v>
      </c>
      <c r="J465" s="396">
        <v>5.0999999999999996</v>
      </c>
      <c r="K465" s="396">
        <v>3.9</v>
      </c>
      <c r="L465" s="394" t="s">
        <v>1075</v>
      </c>
      <c r="M465" s="394"/>
      <c r="N465" s="389">
        <f>AVERAGE(H465,I465,K465)</f>
        <v>4.3666666666666663</v>
      </c>
      <c r="O465" s="397">
        <v>3306</v>
      </c>
      <c r="P465" s="398">
        <v>1864</v>
      </c>
      <c r="Q465" s="397">
        <v>1252</v>
      </c>
      <c r="R465" s="397">
        <v>2748</v>
      </c>
      <c r="S465" s="397">
        <v>1557</v>
      </c>
      <c r="T465" s="397">
        <v>1524</v>
      </c>
      <c r="U465" s="397">
        <v>225</v>
      </c>
      <c r="V465" s="397">
        <v>225</v>
      </c>
      <c r="W465" s="397">
        <v>279</v>
      </c>
      <c r="X465" s="397">
        <v>241</v>
      </c>
      <c r="Y465" s="399">
        <f>S465-('FMTC Main'!$E$22-U465)</f>
        <v>1782</v>
      </c>
      <c r="Z465" s="399">
        <f>T465-('FMTC Main'!$E$27-V465)</f>
        <v>1749</v>
      </c>
      <c r="AA465" s="400" t="str">
        <f>A465&amp;" "&amp;B465&amp;" "&amp;C465</f>
        <v>1977 Pontiac Firebird Trans Am</v>
      </c>
    </row>
    <row r="466" spans="1:27" ht="12.95" customHeight="1">
      <c r="A466" s="394">
        <v>1987</v>
      </c>
      <c r="B466" s="394" t="s">
        <v>239</v>
      </c>
      <c r="C466" s="394" t="s">
        <v>243</v>
      </c>
      <c r="D466" s="395">
        <v>7000</v>
      </c>
      <c r="E466" s="394" t="s">
        <v>1085</v>
      </c>
      <c r="F466" s="394">
        <v>288</v>
      </c>
      <c r="G466" s="396">
        <v>5</v>
      </c>
      <c r="H466" s="396">
        <v>4.5</v>
      </c>
      <c r="I466" s="396">
        <v>5.3</v>
      </c>
      <c r="J466" s="396">
        <v>5.8</v>
      </c>
      <c r="K466" s="396">
        <v>4.3</v>
      </c>
      <c r="L466" s="394" t="s">
        <v>1075</v>
      </c>
      <c r="M466" s="394"/>
      <c r="N466" s="389">
        <f>AVERAGE(H466,I466,K466)</f>
        <v>4.7</v>
      </c>
      <c r="O466" s="397">
        <v>3483</v>
      </c>
      <c r="P466" s="398">
        <v>1839</v>
      </c>
      <c r="Q466" s="397">
        <v>1262</v>
      </c>
      <c r="R466" s="397">
        <v>2565</v>
      </c>
      <c r="S466" s="397">
        <v>1541</v>
      </c>
      <c r="T466" s="397">
        <v>1564</v>
      </c>
      <c r="U466" s="397">
        <v>245</v>
      </c>
      <c r="V466" s="397">
        <v>245</v>
      </c>
      <c r="W466" s="397">
        <v>267</v>
      </c>
      <c r="X466" s="397">
        <v>267</v>
      </c>
      <c r="Y466" s="399">
        <f>S466-('FMTC Main'!$E$22-U466)</f>
        <v>1786</v>
      </c>
      <c r="Z466" s="399">
        <f>T466-('FMTC Main'!$E$27-V466)</f>
        <v>1809</v>
      </c>
      <c r="AA466" s="400" t="str">
        <f>A466&amp;" "&amp;B466&amp;" "&amp;C466</f>
        <v>1987 Pontiac Firebird Trans Am GTA</v>
      </c>
    </row>
    <row r="467" spans="1:27" ht="12.95" customHeight="1">
      <c r="A467" s="394">
        <v>2002</v>
      </c>
      <c r="B467" s="394" t="s">
        <v>239</v>
      </c>
      <c r="C467" s="394" t="s">
        <v>241</v>
      </c>
      <c r="D467" s="395">
        <v>16000</v>
      </c>
      <c r="E467" s="394" t="s">
        <v>1087</v>
      </c>
      <c r="F467" s="394">
        <v>399</v>
      </c>
      <c r="G467" s="396">
        <v>6.1</v>
      </c>
      <c r="H467" s="396">
        <v>4.5999999999999996</v>
      </c>
      <c r="I467" s="396">
        <v>6.8</v>
      </c>
      <c r="J467" s="396">
        <v>6.3</v>
      </c>
      <c r="K467" s="396">
        <v>4.5</v>
      </c>
      <c r="L467" s="394" t="s">
        <v>1075</v>
      </c>
      <c r="M467" s="394"/>
      <c r="N467" s="389">
        <f>AVERAGE(H467,I467,K467)</f>
        <v>5.3</v>
      </c>
      <c r="O467" s="397">
        <v>3495</v>
      </c>
      <c r="P467" s="398">
        <v>1890</v>
      </c>
      <c r="Q467" s="397">
        <v>1316</v>
      </c>
      <c r="R467" s="397">
        <v>2568</v>
      </c>
      <c r="S467" s="397">
        <v>1542</v>
      </c>
      <c r="T467" s="397">
        <v>1549</v>
      </c>
      <c r="U467" s="397">
        <v>275</v>
      </c>
      <c r="V467" s="397">
        <v>275</v>
      </c>
      <c r="W467" s="397">
        <v>303</v>
      </c>
      <c r="X467" s="397">
        <v>305</v>
      </c>
      <c r="Y467" s="399">
        <f>S467-('FMTC Main'!$E$22-U467)</f>
        <v>1817</v>
      </c>
      <c r="Z467" s="399">
        <f>T467-('FMTC Main'!$E$27-V467)</f>
        <v>1824</v>
      </c>
      <c r="AA467" s="400" t="str">
        <f>A467&amp;" "&amp;B467&amp;" "&amp;C467</f>
        <v>2002 Pontiac Firebird Trans Am Ram Air</v>
      </c>
    </row>
    <row r="468" spans="1:27" ht="12.95" customHeight="1">
      <c r="A468" s="394">
        <v>1973</v>
      </c>
      <c r="B468" s="394" t="s">
        <v>239</v>
      </c>
      <c r="C468" s="394" t="s">
        <v>242</v>
      </c>
      <c r="D468" s="410">
        <v>24000</v>
      </c>
      <c r="E468" s="394" t="s">
        <v>1085</v>
      </c>
      <c r="F468" s="394">
        <v>305</v>
      </c>
      <c r="G468" s="396">
        <v>5.0999999999999996</v>
      </c>
      <c r="H468" s="396">
        <v>3.7</v>
      </c>
      <c r="I468" s="396">
        <v>6.6</v>
      </c>
      <c r="J468" s="396">
        <v>5.8</v>
      </c>
      <c r="K468" s="396">
        <v>3.6</v>
      </c>
      <c r="L468" s="394" t="s">
        <v>1075</v>
      </c>
      <c r="M468" s="394"/>
      <c r="N468" s="389">
        <f>AVERAGE(H468,I468,K468)</f>
        <v>4.6333333333333337</v>
      </c>
      <c r="O468" s="397">
        <v>3695</v>
      </c>
      <c r="P468" s="398">
        <v>1864</v>
      </c>
      <c r="Q468" s="397">
        <v>1280</v>
      </c>
      <c r="R468" s="397">
        <v>2748</v>
      </c>
      <c r="S468" s="397">
        <v>1564</v>
      </c>
      <c r="T468" s="397">
        <v>1531</v>
      </c>
      <c r="U468" s="397">
        <v>215</v>
      </c>
      <c r="V468" s="397">
        <v>215</v>
      </c>
      <c r="W468" s="397">
        <v>279</v>
      </c>
      <c r="X468" s="397">
        <v>241</v>
      </c>
      <c r="Y468" s="399">
        <f>S468-('FMTC Main'!$E$22-U468)</f>
        <v>1779</v>
      </c>
      <c r="Z468" s="399">
        <f>T468-('FMTC Main'!$E$27-V468)</f>
        <v>1746</v>
      </c>
      <c r="AA468" s="400" t="str">
        <f>A468&amp;" "&amp;B468&amp;" "&amp;C468</f>
        <v>1973 Pontiac Firebird Trans Am SD-455</v>
      </c>
    </row>
    <row r="469" spans="1:27" ht="12.95" customHeight="1">
      <c r="A469" s="394">
        <v>2009</v>
      </c>
      <c r="B469" s="394" t="s">
        <v>239</v>
      </c>
      <c r="C469" s="394" t="s">
        <v>240</v>
      </c>
      <c r="D469" s="410">
        <v>38000</v>
      </c>
      <c r="E469" s="394" t="s">
        <v>1088</v>
      </c>
      <c r="F469" s="394">
        <v>464</v>
      </c>
      <c r="G469" s="396">
        <v>6.6</v>
      </c>
      <c r="H469" s="396">
        <v>4.8</v>
      </c>
      <c r="I469" s="396">
        <v>7.4</v>
      </c>
      <c r="J469" s="396">
        <v>7</v>
      </c>
      <c r="K469" s="396">
        <v>4.9000000000000004</v>
      </c>
      <c r="L469" s="394" t="s">
        <v>1075</v>
      </c>
      <c r="M469" s="394"/>
      <c r="N469" s="389">
        <f>AVERAGE(H469,I469,K469)</f>
        <v>5.7</v>
      </c>
      <c r="O469" s="397">
        <v>4023</v>
      </c>
      <c r="P469" s="398">
        <v>1899</v>
      </c>
      <c r="Q469" s="397">
        <v>1465</v>
      </c>
      <c r="R469" s="397">
        <v>2915</v>
      </c>
      <c r="S469" s="397">
        <v>1592</v>
      </c>
      <c r="T469" s="397">
        <v>1608</v>
      </c>
      <c r="U469" s="397">
        <v>245</v>
      </c>
      <c r="V469" s="397">
        <v>245</v>
      </c>
      <c r="W469" s="397">
        <v>355</v>
      </c>
      <c r="X469" s="397">
        <v>324</v>
      </c>
      <c r="Y469" s="399">
        <f>S469-('FMTC Main'!$E$22-U469)</f>
        <v>1837</v>
      </c>
      <c r="Z469" s="399">
        <f>T469-('FMTC Main'!$E$27-V469)</f>
        <v>1853</v>
      </c>
      <c r="AA469" s="400" t="str">
        <f>A469&amp;" "&amp;B469&amp;" "&amp;C469</f>
        <v>2009 Pontiac G8 GXP</v>
      </c>
    </row>
    <row r="470" spans="1:27" ht="12.95" customHeight="1">
      <c r="A470" s="394">
        <v>1965</v>
      </c>
      <c r="B470" s="394" t="s">
        <v>239</v>
      </c>
      <c r="C470" s="394" t="s">
        <v>153</v>
      </c>
      <c r="D470" s="410">
        <v>44000</v>
      </c>
      <c r="E470" s="394" t="s">
        <v>1085</v>
      </c>
      <c r="F470" s="394">
        <v>295</v>
      </c>
      <c r="G470" s="396">
        <v>4.8</v>
      </c>
      <c r="H470" s="396">
        <v>3.6</v>
      </c>
      <c r="I470" s="396">
        <v>6.7</v>
      </c>
      <c r="J470" s="396">
        <v>5.8</v>
      </c>
      <c r="K470" s="396">
        <v>3.6</v>
      </c>
      <c r="L470" s="394" t="s">
        <v>1075</v>
      </c>
      <c r="M470" s="394" t="s">
        <v>1100</v>
      </c>
      <c r="N470" s="389">
        <f>AVERAGE(H470,I470,K470)</f>
        <v>4.6333333333333337</v>
      </c>
      <c r="O470" s="397">
        <v>3468</v>
      </c>
      <c r="P470" s="398">
        <v>1890</v>
      </c>
      <c r="Q470" s="397">
        <v>1371</v>
      </c>
      <c r="R470" s="397">
        <v>2921</v>
      </c>
      <c r="S470" s="397">
        <v>1473</v>
      </c>
      <c r="T470" s="397">
        <v>1473</v>
      </c>
      <c r="U470" s="397">
        <v>205</v>
      </c>
      <c r="V470" s="397">
        <v>205</v>
      </c>
      <c r="W470" s="397">
        <v>241</v>
      </c>
      <c r="X470" s="397">
        <v>241</v>
      </c>
      <c r="Y470" s="399">
        <f>S470-('FMTC Main'!$E$22-U470)</f>
        <v>1678</v>
      </c>
      <c r="Z470" s="399">
        <f>T470-('FMTC Main'!$E$27-V470)</f>
        <v>1678</v>
      </c>
      <c r="AA470" s="400" t="str">
        <f>A470&amp;" "&amp;B470&amp;" "&amp;C470</f>
        <v>1965 Pontiac GTO</v>
      </c>
    </row>
    <row r="471" spans="1:27" ht="12.95" customHeight="1">
      <c r="A471" s="394">
        <v>2006</v>
      </c>
      <c r="B471" s="394" t="s">
        <v>239</v>
      </c>
      <c r="C471" s="394" t="s">
        <v>153</v>
      </c>
      <c r="D471" s="410">
        <v>17000</v>
      </c>
      <c r="E471" s="394" t="s">
        <v>1088</v>
      </c>
      <c r="F471" s="394">
        <v>440</v>
      </c>
      <c r="G471" s="396">
        <v>7.6</v>
      </c>
      <c r="H471" s="396">
        <v>4.7</v>
      </c>
      <c r="I471" s="396">
        <v>7.1</v>
      </c>
      <c r="J471" s="396">
        <v>6.8</v>
      </c>
      <c r="K471" s="396">
        <v>4.5</v>
      </c>
      <c r="L471" s="394" t="s">
        <v>1075</v>
      </c>
      <c r="M471" s="394"/>
      <c r="N471" s="389">
        <f>AVERAGE(H471,I471,K471)</f>
        <v>5.4333333333333336</v>
      </c>
      <c r="O471" s="397">
        <v>3878</v>
      </c>
      <c r="P471" s="398">
        <v>1842</v>
      </c>
      <c r="Q471" s="397">
        <v>1394</v>
      </c>
      <c r="R471" s="397">
        <v>2789</v>
      </c>
      <c r="S471" s="397">
        <v>1570</v>
      </c>
      <c r="T471" s="397">
        <v>1577</v>
      </c>
      <c r="U471" s="397">
        <v>235</v>
      </c>
      <c r="V471" s="397">
        <v>235</v>
      </c>
      <c r="W471" s="397">
        <v>320</v>
      </c>
      <c r="X471" s="397">
        <v>286</v>
      </c>
      <c r="Y471" s="399">
        <f>S471-('FMTC Main'!$E$22-U471)</f>
        <v>1805</v>
      </c>
      <c r="Z471" s="399">
        <f>T471-('FMTC Main'!$E$27-V471)</f>
        <v>1812</v>
      </c>
      <c r="AA471" s="400" t="str">
        <f>A471&amp;" "&amp;B471&amp;" "&amp;C471</f>
        <v>2006 Pontiac GTO</v>
      </c>
    </row>
    <row r="472" spans="1:27" ht="12.95" customHeight="1">
      <c r="A472" s="394">
        <v>1969</v>
      </c>
      <c r="B472" s="394" t="s">
        <v>239</v>
      </c>
      <c r="C472" s="394" t="s">
        <v>958</v>
      </c>
      <c r="D472" s="410">
        <v>44000</v>
      </c>
      <c r="E472" s="394" t="s">
        <v>1085</v>
      </c>
      <c r="F472" s="394">
        <v>311</v>
      </c>
      <c r="G472" s="396">
        <v>3.8</v>
      </c>
      <c r="H472" s="396">
        <v>3.7</v>
      </c>
      <c r="I472" s="396">
        <v>6.8</v>
      </c>
      <c r="J472" s="396">
        <v>6</v>
      </c>
      <c r="K472" s="396">
        <v>3.6</v>
      </c>
      <c r="L472" s="394" t="s">
        <v>1075</v>
      </c>
      <c r="M472" s="394"/>
      <c r="N472" s="389">
        <f>AVERAGE(H472,I472,K472)</f>
        <v>4.7</v>
      </c>
      <c r="O472" s="397">
        <v>3623</v>
      </c>
      <c r="P472" s="398">
        <v>1925</v>
      </c>
      <c r="Q472" s="397">
        <v>1328</v>
      </c>
      <c r="R472" s="397">
        <v>2845</v>
      </c>
      <c r="S472" s="397">
        <v>1524</v>
      </c>
      <c r="T472" s="397">
        <v>1524</v>
      </c>
      <c r="U472" s="397">
        <v>225</v>
      </c>
      <c r="V472" s="397">
        <v>225</v>
      </c>
      <c r="W472" s="397">
        <v>241</v>
      </c>
      <c r="X472" s="397">
        <v>241</v>
      </c>
      <c r="Y472" s="399">
        <f>S472-('FMTC Main'!$E$22-U472)</f>
        <v>1749</v>
      </c>
      <c r="Z472" s="399">
        <f>T472-('FMTC Main'!$E$27-V472)</f>
        <v>1749</v>
      </c>
      <c r="AA472" s="400" t="str">
        <f>A472&amp;" "&amp;B472&amp;" "&amp;C472</f>
        <v>1969 Pontiac GTO Judge</v>
      </c>
    </row>
    <row r="473" spans="1:27" ht="12.95" customHeight="1">
      <c r="A473" s="394">
        <v>2009</v>
      </c>
      <c r="B473" s="394" t="s">
        <v>239</v>
      </c>
      <c r="C473" s="394" t="s">
        <v>959</v>
      </c>
      <c r="D473" s="395">
        <v>18000</v>
      </c>
      <c r="E473" s="394" t="s">
        <v>1088</v>
      </c>
      <c r="F473" s="394">
        <v>431</v>
      </c>
      <c r="G473" s="396">
        <v>4.7</v>
      </c>
      <c r="H473" s="396">
        <v>4.9000000000000004</v>
      </c>
      <c r="I473" s="396">
        <v>6.8</v>
      </c>
      <c r="J473" s="396">
        <v>7.1</v>
      </c>
      <c r="K473" s="396">
        <v>4.9000000000000004</v>
      </c>
      <c r="L473" s="394" t="s">
        <v>1075</v>
      </c>
      <c r="M473" s="394"/>
      <c r="N473" s="389">
        <f>AVERAGE(H473,I473,K473)</f>
        <v>5.5333333333333341</v>
      </c>
      <c r="O473" s="397">
        <v>3018</v>
      </c>
      <c r="P473" s="398">
        <v>1811</v>
      </c>
      <c r="Q473" s="397">
        <v>1293</v>
      </c>
      <c r="R473" s="397">
        <v>2416</v>
      </c>
      <c r="S473" s="397">
        <v>1542</v>
      </c>
      <c r="T473" s="397">
        <v>1560</v>
      </c>
      <c r="U473" s="397">
        <v>245</v>
      </c>
      <c r="V473" s="397">
        <v>245</v>
      </c>
      <c r="W473" s="397">
        <v>297</v>
      </c>
      <c r="X473" s="397">
        <v>277</v>
      </c>
      <c r="Y473" s="399">
        <f>S473-('FMTC Main'!$E$22-U473)</f>
        <v>1787</v>
      </c>
      <c r="Z473" s="399">
        <f>T473-('FMTC Main'!$E$27-V473)</f>
        <v>1805</v>
      </c>
      <c r="AA473" s="400" t="str">
        <f>A473&amp;" "&amp;B473&amp;" "&amp;C473</f>
        <v>2009 Pontiac Solstice GXP</v>
      </c>
    </row>
    <row r="474" spans="1:27" ht="12.95" customHeight="1">
      <c r="A474" s="394">
        <v>2011</v>
      </c>
      <c r="B474" s="394" t="s">
        <v>711</v>
      </c>
      <c r="C474" s="394" t="s">
        <v>960</v>
      </c>
      <c r="D474" s="410">
        <v>300000</v>
      </c>
      <c r="E474" s="394" t="s">
        <v>1091</v>
      </c>
      <c r="F474" s="394">
        <v>869</v>
      </c>
      <c r="G474" s="396">
        <v>6.7</v>
      </c>
      <c r="H474" s="396">
        <v>8.6999999999999993</v>
      </c>
      <c r="I474" s="396">
        <v>9.8000000000000007</v>
      </c>
      <c r="J474" s="396">
        <v>8.8000000000000007</v>
      </c>
      <c r="K474" s="396">
        <v>8.6999999999999993</v>
      </c>
      <c r="L474" s="394" t="s">
        <v>1076</v>
      </c>
      <c r="M474" s="394"/>
      <c r="N474" s="389">
        <f>AVERAGE(H474,I474,K474)</f>
        <v>9.0666666666666664</v>
      </c>
      <c r="O474" s="397">
        <v>1433</v>
      </c>
      <c r="P474" s="398">
        <v>1790</v>
      </c>
      <c r="Q474" s="397">
        <v>1040</v>
      </c>
      <c r="R474" s="397">
        <v>2375</v>
      </c>
      <c r="S474" s="397">
        <v>1590</v>
      </c>
      <c r="T474" s="397">
        <v>1525</v>
      </c>
      <c r="U474" s="397">
        <v>200</v>
      </c>
      <c r="V474" s="397">
        <v>265</v>
      </c>
      <c r="W474" s="397">
        <v>280</v>
      </c>
      <c r="X474" s="397">
        <v>280</v>
      </c>
      <c r="Y474" s="399">
        <f>S474-('FMTC Main'!$E$22-U474)</f>
        <v>1790</v>
      </c>
      <c r="Z474" s="399">
        <f>T474-('FMTC Main'!$E$27-V474)</f>
        <v>1790</v>
      </c>
      <c r="AA474" s="400" t="str">
        <f>A474&amp;" "&amp;B474&amp;" "&amp;C474</f>
        <v>2011 Radical SR8 RX</v>
      </c>
    </row>
    <row r="475" spans="1:27" ht="12.95" customHeight="1">
      <c r="A475" s="394">
        <v>1980</v>
      </c>
      <c r="B475" s="394" t="s">
        <v>244</v>
      </c>
      <c r="C475" s="394" t="s">
        <v>245</v>
      </c>
      <c r="D475" s="410">
        <v>38000</v>
      </c>
      <c r="E475" s="394" t="s">
        <v>1085</v>
      </c>
      <c r="F475" s="394">
        <v>284</v>
      </c>
      <c r="G475" s="396">
        <v>3.3</v>
      </c>
      <c r="H475" s="396">
        <v>4.2</v>
      </c>
      <c r="I475" s="396">
        <v>6</v>
      </c>
      <c r="J475" s="396">
        <v>6.9</v>
      </c>
      <c r="K475" s="396">
        <v>4.2</v>
      </c>
      <c r="L475" s="394" t="s">
        <v>1097</v>
      </c>
      <c r="M475" s="394"/>
      <c r="N475" s="389">
        <f>AVERAGE(H475,I475,K475)</f>
        <v>4.8</v>
      </c>
      <c r="O475" s="397">
        <v>2138</v>
      </c>
      <c r="P475" s="398">
        <v>1725</v>
      </c>
      <c r="Q475" s="397">
        <v>1323</v>
      </c>
      <c r="R475" s="397">
        <v>2430</v>
      </c>
      <c r="S475" s="397">
        <v>1346</v>
      </c>
      <c r="T475" s="397">
        <v>1470</v>
      </c>
      <c r="U475" s="397">
        <v>190</v>
      </c>
      <c r="V475" s="397">
        <v>220</v>
      </c>
      <c r="W475" s="397">
        <v>260</v>
      </c>
      <c r="X475" s="397">
        <v>260</v>
      </c>
      <c r="Y475" s="399">
        <f>S475-('FMTC Main'!$E$22-U475)</f>
        <v>1536</v>
      </c>
      <c r="Z475" s="399">
        <f>T475-('FMTC Main'!$E$27-V475)</f>
        <v>1690</v>
      </c>
      <c r="AA475" s="400" t="str">
        <f>A475&amp;" "&amp;B475&amp;" "&amp;C475</f>
        <v>1980 Renault 5 Turbo</v>
      </c>
    </row>
    <row r="476" spans="1:27" ht="12.95" customHeight="1">
      <c r="A476" s="394">
        <v>2007</v>
      </c>
      <c r="B476" s="394" t="s">
        <v>244</v>
      </c>
      <c r="C476" s="394" t="s">
        <v>962</v>
      </c>
      <c r="D476" s="410">
        <v>20000</v>
      </c>
      <c r="E476" s="394" t="s">
        <v>1087</v>
      </c>
      <c r="F476" s="394">
        <v>393</v>
      </c>
      <c r="G476" s="396">
        <v>4.4000000000000004</v>
      </c>
      <c r="H476" s="396">
        <v>5</v>
      </c>
      <c r="I476" s="396">
        <v>6.2</v>
      </c>
      <c r="J476" s="396">
        <v>6.6</v>
      </c>
      <c r="K476" s="396">
        <v>5</v>
      </c>
      <c r="L476" s="394" t="s">
        <v>1097</v>
      </c>
      <c r="M476" s="394"/>
      <c r="N476" s="389">
        <f>AVERAGE(H476,I476,K476)</f>
        <v>5.3999999999999995</v>
      </c>
      <c r="O476" s="397">
        <v>2778</v>
      </c>
      <c r="P476" s="398">
        <v>1778</v>
      </c>
      <c r="Q476" s="397">
        <v>1473</v>
      </c>
      <c r="R476" s="397">
        <v>2565</v>
      </c>
      <c r="S476" s="397">
        <v>1520</v>
      </c>
      <c r="T476" s="397">
        <v>1520</v>
      </c>
      <c r="U476" s="397">
        <v>215</v>
      </c>
      <c r="V476" s="397">
        <v>215</v>
      </c>
      <c r="W476" s="397">
        <v>280</v>
      </c>
      <c r="X476" s="397">
        <v>240</v>
      </c>
      <c r="Y476" s="399">
        <f>S476-('FMTC Main'!$E$22-U476)</f>
        <v>1735</v>
      </c>
      <c r="Z476" s="399">
        <f>T476-('FMTC Main'!$E$27-V476)</f>
        <v>1735</v>
      </c>
      <c r="AA476" s="400" t="str">
        <f>A476&amp;" "&amp;B476&amp;" "&amp;C476</f>
        <v>2007 Renault Clio RS 197</v>
      </c>
    </row>
    <row r="477" spans="1:27" ht="12.95" customHeight="1">
      <c r="A477" s="394">
        <v>2003</v>
      </c>
      <c r="B477" s="394" t="s">
        <v>244</v>
      </c>
      <c r="C477" s="394" t="s">
        <v>961</v>
      </c>
      <c r="D477" s="395">
        <v>29000</v>
      </c>
      <c r="E477" s="394" t="s">
        <v>1088</v>
      </c>
      <c r="F477" s="394">
        <v>427</v>
      </c>
      <c r="G477" s="396">
        <v>5.0999999999999996</v>
      </c>
      <c r="H477" s="396">
        <v>4.9000000000000004</v>
      </c>
      <c r="I477" s="396">
        <v>6.4</v>
      </c>
      <c r="J477" s="396">
        <v>6.6</v>
      </c>
      <c r="K477" s="396">
        <v>4.8</v>
      </c>
      <c r="L477" s="394" t="s">
        <v>1097</v>
      </c>
      <c r="M477" s="394"/>
      <c r="N477" s="389">
        <f>AVERAGE(H477,I477,K477)</f>
        <v>5.3666666666666671</v>
      </c>
      <c r="O477" s="397">
        <v>3058</v>
      </c>
      <c r="P477" s="398">
        <v>1800</v>
      </c>
      <c r="Q477" s="397">
        <v>1370</v>
      </c>
      <c r="R477" s="397">
        <v>2514</v>
      </c>
      <c r="S477" s="397">
        <v>1473</v>
      </c>
      <c r="T477" s="397">
        <v>1498</v>
      </c>
      <c r="U477" s="397">
        <v>235</v>
      </c>
      <c r="V477" s="397">
        <v>235</v>
      </c>
      <c r="W477" s="397">
        <v>330</v>
      </c>
      <c r="X477" s="397">
        <v>300</v>
      </c>
      <c r="Y477" s="399">
        <f>S477-('FMTC Main'!$E$22-U477)</f>
        <v>1708</v>
      </c>
      <c r="Z477" s="399">
        <f>T477-('FMTC Main'!$E$27-V477)</f>
        <v>1733</v>
      </c>
      <c r="AA477" s="400" t="str">
        <f>A477&amp;" "&amp;B477&amp;" "&amp;C477</f>
        <v>2003 Renault Clio V6</v>
      </c>
    </row>
    <row r="478" spans="1:27" ht="12.95" customHeight="1">
      <c r="A478" s="394">
        <v>2010</v>
      </c>
      <c r="B478" s="394" t="s">
        <v>244</v>
      </c>
      <c r="C478" s="394" t="s">
        <v>712</v>
      </c>
      <c r="D478" s="395">
        <v>17000</v>
      </c>
      <c r="E478" s="394" t="s">
        <v>1087</v>
      </c>
      <c r="F478" s="394">
        <v>394</v>
      </c>
      <c r="G478" s="396">
        <v>5</v>
      </c>
      <c r="H478" s="396">
        <v>4.9000000000000004</v>
      </c>
      <c r="I478" s="396">
        <v>6.2</v>
      </c>
      <c r="J478" s="396">
        <v>6.7</v>
      </c>
      <c r="K478" s="396">
        <v>4.9000000000000004</v>
      </c>
      <c r="L478" s="394" t="s">
        <v>1097</v>
      </c>
      <c r="M478" s="394"/>
      <c r="N478" s="389">
        <f>AVERAGE(H478,I478,K478)</f>
        <v>5.333333333333333</v>
      </c>
      <c r="O478" s="397">
        <v>3086</v>
      </c>
      <c r="P478" s="398">
        <v>1808</v>
      </c>
      <c r="Q478" s="397">
        <v>1425</v>
      </c>
      <c r="R478" s="397">
        <v>2640</v>
      </c>
      <c r="S478" s="397">
        <v>1550</v>
      </c>
      <c r="T478" s="397">
        <v>1550</v>
      </c>
      <c r="U478" s="397">
        <v>235</v>
      </c>
      <c r="V478" s="397">
        <v>235</v>
      </c>
      <c r="W478" s="397">
        <v>290</v>
      </c>
      <c r="X478" s="397">
        <v>260</v>
      </c>
      <c r="Y478" s="399">
        <f>S478-('FMTC Main'!$E$22-U478)</f>
        <v>1785</v>
      </c>
      <c r="Z478" s="399">
        <f>T478-('FMTC Main'!$E$27-V478)</f>
        <v>1785</v>
      </c>
      <c r="AA478" s="400" t="str">
        <f>A478&amp;" "&amp;B478&amp;" "&amp;C478</f>
        <v>2010 Renault Megane RS 250</v>
      </c>
    </row>
    <row r="479" spans="1:27" ht="12.95" customHeight="1">
      <c r="A479" s="394">
        <v>2009</v>
      </c>
      <c r="B479" s="394" t="s">
        <v>244</v>
      </c>
      <c r="C479" s="394" t="s">
        <v>963</v>
      </c>
      <c r="D479" s="410">
        <v>16000</v>
      </c>
      <c r="E479" s="394" t="s">
        <v>1085</v>
      </c>
      <c r="F479" s="394">
        <v>284</v>
      </c>
      <c r="G479" s="396">
        <v>3.4</v>
      </c>
      <c r="H479" s="396">
        <v>4.7</v>
      </c>
      <c r="I479" s="396">
        <v>5.3</v>
      </c>
      <c r="J479" s="396">
        <v>5.8</v>
      </c>
      <c r="K479" s="396">
        <v>4.5999999999999996</v>
      </c>
      <c r="L479" s="394" t="s">
        <v>1097</v>
      </c>
      <c r="M479" s="394"/>
      <c r="N479" s="389">
        <f>AVERAGE(H479,I479,K479)</f>
        <v>4.8666666666666663</v>
      </c>
      <c r="O479" s="397">
        <v>2313</v>
      </c>
      <c r="P479" s="398">
        <v>1655</v>
      </c>
      <c r="Q479" s="397">
        <v>1470</v>
      </c>
      <c r="R479" s="397">
        <v>2368</v>
      </c>
      <c r="S479" s="397">
        <v>1460</v>
      </c>
      <c r="T479" s="397">
        <v>1445</v>
      </c>
      <c r="U479" s="397">
        <v>195</v>
      </c>
      <c r="V479" s="397">
        <v>195</v>
      </c>
      <c r="W479" s="397">
        <v>280</v>
      </c>
      <c r="X479" s="397">
        <v>240</v>
      </c>
      <c r="Y479" s="399">
        <f>S479-('FMTC Main'!$E$22-U479)</f>
        <v>1655</v>
      </c>
      <c r="Z479" s="399">
        <f>T479-('FMTC Main'!$E$27-V479)</f>
        <v>1640</v>
      </c>
      <c r="AA479" s="400" t="str">
        <f>A479&amp;" "&amp;B479&amp;" "&amp;C479</f>
        <v>2009 Renault Twingo Sport Cup</v>
      </c>
    </row>
    <row r="480" spans="1:27" ht="12.95" customHeight="1">
      <c r="A480" s="394">
        <v>2010</v>
      </c>
      <c r="B480" s="394" t="s">
        <v>713</v>
      </c>
      <c r="C480" s="394" t="s">
        <v>714</v>
      </c>
      <c r="D480" s="410">
        <v>120000</v>
      </c>
      <c r="E480" s="394" t="s">
        <v>1092</v>
      </c>
      <c r="F480" s="394">
        <v>621</v>
      </c>
      <c r="G480" s="396">
        <v>8.6</v>
      </c>
      <c r="H480" s="396">
        <v>6.3</v>
      </c>
      <c r="I480" s="396">
        <v>8.4</v>
      </c>
      <c r="J480" s="396">
        <v>8.1999999999999993</v>
      </c>
      <c r="K480" s="396">
        <v>6.2</v>
      </c>
      <c r="L480" s="394" t="s">
        <v>1075</v>
      </c>
      <c r="M480" s="394"/>
      <c r="N480" s="389">
        <f>AVERAGE(H480,I480,K480)</f>
        <v>6.9666666666666659</v>
      </c>
      <c r="O480" s="397">
        <v>2675</v>
      </c>
      <c r="P480" s="398">
        <v>1880</v>
      </c>
      <c r="Q480" s="397">
        <v>1143</v>
      </c>
      <c r="R480" s="397">
        <v>2438</v>
      </c>
      <c r="S480" s="397">
        <v>1570</v>
      </c>
      <c r="T480" s="397">
        <v>1550</v>
      </c>
      <c r="U480" s="397">
        <v>225</v>
      </c>
      <c r="V480" s="397">
        <v>275</v>
      </c>
      <c r="W480" s="397">
        <v>330</v>
      </c>
      <c r="X480" s="397">
        <v>330</v>
      </c>
      <c r="Y480" s="399">
        <f>S480-('FMTC Main'!$E$22-U480)</f>
        <v>1795</v>
      </c>
      <c r="Z480" s="399">
        <f>T480-('FMTC Main'!$E$27-V480)</f>
        <v>1825</v>
      </c>
      <c r="AA480" s="400" t="str">
        <f>A480&amp;" "&amp;B480&amp;" "&amp;C480</f>
        <v>2010 Rossion Q1</v>
      </c>
    </row>
    <row r="481" spans="1:27" ht="12.95" customHeight="1">
      <c r="A481" s="394">
        <v>2011</v>
      </c>
      <c r="B481" s="394" t="s">
        <v>964</v>
      </c>
      <c r="C481" s="394" t="s">
        <v>965</v>
      </c>
      <c r="D481" s="410">
        <v>320000</v>
      </c>
      <c r="E481" s="394" t="s">
        <v>1092</v>
      </c>
      <c r="F481" s="394">
        <v>636</v>
      </c>
      <c r="G481" s="396">
        <v>9.1</v>
      </c>
      <c r="H481" s="396">
        <v>6</v>
      </c>
      <c r="I481" s="396">
        <v>8.6999999999999993</v>
      </c>
      <c r="J481" s="396">
        <v>8.4</v>
      </c>
      <c r="K481" s="396">
        <v>5.9</v>
      </c>
      <c r="L481" s="394" t="s">
        <v>1093</v>
      </c>
      <c r="M481" s="394" t="s">
        <v>1109</v>
      </c>
      <c r="N481" s="389">
        <f>AVERAGE(H481,I481,K481)</f>
        <v>6.8666666666666671</v>
      </c>
      <c r="O481" s="397">
        <v>2976</v>
      </c>
      <c r="P481" s="398">
        <v>1765</v>
      </c>
      <c r="Q481" s="397">
        <v>1270</v>
      </c>
      <c r="R481" s="397">
        <v>2350</v>
      </c>
      <c r="S481" s="397">
        <v>1491</v>
      </c>
      <c r="T481" s="397">
        <v>1549</v>
      </c>
      <c r="U481" s="397">
        <v>245</v>
      </c>
      <c r="V481" s="397">
        <v>325</v>
      </c>
      <c r="W481" s="397">
        <v>380</v>
      </c>
      <c r="X481" s="397">
        <v>350</v>
      </c>
      <c r="Y481" s="399">
        <f>S481-('FMTC Main'!$E$22-U481)</f>
        <v>1736</v>
      </c>
      <c r="Z481" s="399">
        <f>T481-('FMTC Main'!$E$27-V481)</f>
        <v>1874</v>
      </c>
      <c r="AA481" s="400" t="str">
        <f>A481&amp;" "&amp;B481&amp;" "&amp;C481</f>
        <v>2011 RUF RGT-8</v>
      </c>
    </row>
    <row r="482" spans="1:27" ht="12.95" customHeight="1">
      <c r="A482" s="394">
        <v>2011</v>
      </c>
      <c r="B482" s="394" t="s">
        <v>964</v>
      </c>
      <c r="C482" s="394" t="s">
        <v>1055</v>
      </c>
      <c r="D482" s="410">
        <v>440000</v>
      </c>
      <c r="E482" s="394" t="s">
        <v>1094</v>
      </c>
      <c r="F482" s="394">
        <v>757</v>
      </c>
      <c r="G482" s="396">
        <v>10</v>
      </c>
      <c r="H482" s="396">
        <v>6.3</v>
      </c>
      <c r="I482" s="396">
        <v>9.6</v>
      </c>
      <c r="J482" s="396">
        <v>10</v>
      </c>
      <c r="K482" s="396">
        <v>6.3</v>
      </c>
      <c r="L482" s="394" t="s">
        <v>1093</v>
      </c>
      <c r="M482" s="394" t="s">
        <v>1108</v>
      </c>
      <c r="N482" s="389">
        <f>AVERAGE(H482,I482,K482)</f>
        <v>7.3999999999999995</v>
      </c>
      <c r="O482" s="397">
        <v>3254</v>
      </c>
      <c r="P482" s="398">
        <v>1852</v>
      </c>
      <c r="Q482" s="397">
        <v>1300</v>
      </c>
      <c r="R482" s="397">
        <v>2350</v>
      </c>
      <c r="S482" s="397">
        <v>1490</v>
      </c>
      <c r="T482" s="397">
        <v>1548</v>
      </c>
      <c r="U482" s="397">
        <v>235</v>
      </c>
      <c r="V482" s="397">
        <v>325</v>
      </c>
      <c r="W482" s="397">
        <v>380</v>
      </c>
      <c r="X482" s="397">
        <v>350</v>
      </c>
      <c r="Y482" s="399">
        <f>S482-('FMTC Main'!$E$22-U482)</f>
        <v>1725</v>
      </c>
      <c r="Z482" s="399">
        <f>T482-('FMTC Main'!$E$27-V482)</f>
        <v>1873</v>
      </c>
      <c r="AA482" s="400" t="str">
        <f>A482&amp;" "&amp;B482&amp;" "&amp;C482</f>
        <v>2011 RUF Rt 12 R</v>
      </c>
    </row>
    <row r="483" spans="1:27" ht="12.95" customHeight="1">
      <c r="A483" s="394">
        <v>2011</v>
      </c>
      <c r="B483" s="394" t="s">
        <v>964</v>
      </c>
      <c r="C483" s="394" t="s">
        <v>1056</v>
      </c>
      <c r="D483" s="410">
        <v>270000</v>
      </c>
      <c r="E483" s="394" t="s">
        <v>1092</v>
      </c>
      <c r="F483" s="394">
        <v>666</v>
      </c>
      <c r="G483" s="396">
        <v>9.9</v>
      </c>
      <c r="H483" s="396">
        <v>5.8</v>
      </c>
      <c r="I483" s="396">
        <v>9.1999999999999993</v>
      </c>
      <c r="J483" s="396">
        <v>8.6999999999999993</v>
      </c>
      <c r="K483" s="396">
        <v>5.8</v>
      </c>
      <c r="L483" s="394" t="s">
        <v>1093</v>
      </c>
      <c r="M483" s="394"/>
      <c r="N483" s="389">
        <f>AVERAGE(H483,I483,K483)</f>
        <v>6.9333333333333336</v>
      </c>
      <c r="O483" s="397">
        <v>3395</v>
      </c>
      <c r="P483" s="398">
        <v>1852</v>
      </c>
      <c r="Q483" s="397">
        <v>1300</v>
      </c>
      <c r="R483" s="397">
        <v>2350</v>
      </c>
      <c r="S483" s="397">
        <v>1485</v>
      </c>
      <c r="T483" s="397">
        <v>1534</v>
      </c>
      <c r="U483" s="397">
        <v>235</v>
      </c>
      <c r="V483" s="397">
        <v>325</v>
      </c>
      <c r="W483" s="397">
        <v>380</v>
      </c>
      <c r="X483" s="397">
        <v>350</v>
      </c>
      <c r="Y483" s="399">
        <f>S483-('FMTC Main'!$E$22-U483)</f>
        <v>1720</v>
      </c>
      <c r="Z483" s="399">
        <f>T483-('FMTC Main'!$E$27-V483)</f>
        <v>1859</v>
      </c>
      <c r="AA483" s="400" t="str">
        <f>A483&amp;" "&amp;B483&amp;" "&amp;C483</f>
        <v>2011 RUF Rt 12 S</v>
      </c>
    </row>
    <row r="484" spans="1:27" ht="12.95" customHeight="1">
      <c r="A484" s="394">
        <v>2002</v>
      </c>
      <c r="B484" s="394" t="s">
        <v>246</v>
      </c>
      <c r="C484" s="394" t="s">
        <v>320</v>
      </c>
      <c r="D484" s="410">
        <v>10000</v>
      </c>
      <c r="E484" s="394" t="s">
        <v>1085</v>
      </c>
      <c r="F484" s="394">
        <v>321</v>
      </c>
      <c r="G484" s="396">
        <v>4.9000000000000004</v>
      </c>
      <c r="H484" s="396">
        <v>4.5</v>
      </c>
      <c r="I484" s="396">
        <v>5.5</v>
      </c>
      <c r="J484" s="396">
        <v>5.6</v>
      </c>
      <c r="K484" s="396">
        <v>4.4000000000000004</v>
      </c>
      <c r="L484" s="394" t="s">
        <v>1105</v>
      </c>
      <c r="M484" s="394"/>
      <c r="N484" s="389">
        <f>AVERAGE(H484,I484,K484)</f>
        <v>4.8</v>
      </c>
      <c r="O484" s="397">
        <v>3285</v>
      </c>
      <c r="P484" s="398">
        <v>1701</v>
      </c>
      <c r="Q484" s="397">
        <v>1422</v>
      </c>
      <c r="R484" s="397">
        <v>2605</v>
      </c>
      <c r="S484" s="397">
        <v>1447</v>
      </c>
      <c r="T484" s="397">
        <v>1447</v>
      </c>
      <c r="U484" s="397">
        <v>205</v>
      </c>
      <c r="V484" s="397">
        <v>205</v>
      </c>
      <c r="W484" s="397">
        <v>288</v>
      </c>
      <c r="X484" s="397">
        <v>286</v>
      </c>
      <c r="Y484" s="399">
        <f>S484-('FMTC Main'!$E$22-U484)</f>
        <v>1652</v>
      </c>
      <c r="Z484" s="399">
        <f>T484-('FMTC Main'!$E$27-V484)</f>
        <v>1652</v>
      </c>
      <c r="AA484" s="400" t="str">
        <f>A484&amp;" "&amp;B484&amp;" "&amp;C484</f>
        <v>2002 Saab 9-3 Aero</v>
      </c>
    </row>
    <row r="485" spans="1:27" ht="12.95" customHeight="1">
      <c r="A485" s="394">
        <v>2008</v>
      </c>
      <c r="B485" s="394" t="s">
        <v>246</v>
      </c>
      <c r="C485" s="394" t="s">
        <v>247</v>
      </c>
      <c r="D485" s="395">
        <v>28000</v>
      </c>
      <c r="E485" s="394" t="s">
        <v>1087</v>
      </c>
      <c r="F485" s="394">
        <v>366</v>
      </c>
      <c r="G485" s="396">
        <v>5.4</v>
      </c>
      <c r="H485" s="396">
        <v>4.5999999999999996</v>
      </c>
      <c r="I485" s="396">
        <v>5.4</v>
      </c>
      <c r="J485" s="396">
        <v>6.1</v>
      </c>
      <c r="K485" s="396">
        <v>4.5</v>
      </c>
      <c r="L485" s="394" t="s">
        <v>1105</v>
      </c>
      <c r="M485" s="394"/>
      <c r="N485" s="389">
        <f>AVERAGE(H485,I485,K485)</f>
        <v>4.833333333333333</v>
      </c>
      <c r="O485" s="397">
        <v>3770</v>
      </c>
      <c r="P485" s="398">
        <v>1803</v>
      </c>
      <c r="Q485" s="397">
        <v>1447</v>
      </c>
      <c r="R485" s="397">
        <v>2675</v>
      </c>
      <c r="S485" s="397">
        <v>1524</v>
      </c>
      <c r="T485" s="397">
        <v>1498</v>
      </c>
      <c r="U485" s="397">
        <v>235</v>
      </c>
      <c r="V485" s="397">
        <v>235</v>
      </c>
      <c r="W485" s="397">
        <v>304</v>
      </c>
      <c r="X485" s="397">
        <v>279</v>
      </c>
      <c r="Y485" s="399">
        <f>S485-('FMTC Main'!$E$22-U485)</f>
        <v>1759</v>
      </c>
      <c r="Z485" s="399">
        <f>T485-('FMTC Main'!$E$27-V485)</f>
        <v>1733</v>
      </c>
      <c r="AA485" s="400" t="str">
        <f>A485&amp;" "&amp;B485&amp;" "&amp;C485</f>
        <v>2008 Saab 9-3 Turbo X</v>
      </c>
    </row>
    <row r="486" spans="1:27" ht="12.95" customHeight="1">
      <c r="A486" s="394">
        <v>1978</v>
      </c>
      <c r="B486" s="394" t="s">
        <v>246</v>
      </c>
      <c r="C486" s="394" t="s">
        <v>715</v>
      </c>
      <c r="D486" s="410">
        <v>5000</v>
      </c>
      <c r="E486" s="394" t="s">
        <v>1099</v>
      </c>
      <c r="F486" s="394">
        <v>192</v>
      </c>
      <c r="G486" s="396">
        <v>3.1</v>
      </c>
      <c r="H486" s="396">
        <v>4.0999999999999996</v>
      </c>
      <c r="I486" s="396">
        <v>4.7</v>
      </c>
      <c r="J486" s="396">
        <v>5.0999999999999996</v>
      </c>
      <c r="K486" s="396">
        <v>4</v>
      </c>
      <c r="L486" s="394" t="s">
        <v>1105</v>
      </c>
      <c r="M486" s="394"/>
      <c r="N486" s="389">
        <f>AVERAGE(H486,I486,K486)</f>
        <v>4.2666666666666666</v>
      </c>
      <c r="O486" s="397">
        <v>2668</v>
      </c>
      <c r="P486" s="398">
        <v>1689</v>
      </c>
      <c r="Q486" s="397">
        <v>1435</v>
      </c>
      <c r="R486" s="397">
        <v>2477</v>
      </c>
      <c r="S486" s="397">
        <v>1405</v>
      </c>
      <c r="T486" s="397">
        <v>1430</v>
      </c>
      <c r="U486" s="397">
        <v>175</v>
      </c>
      <c r="V486" s="397">
        <v>175</v>
      </c>
      <c r="W486" s="397">
        <v>269</v>
      </c>
      <c r="X486" s="397">
        <v>269</v>
      </c>
      <c r="Y486" s="399">
        <f>S486-('FMTC Main'!$E$22-U486)</f>
        <v>1580</v>
      </c>
      <c r="Z486" s="399">
        <f>T486-('FMTC Main'!$E$27-V486)</f>
        <v>1605</v>
      </c>
      <c r="AA486" s="400" t="str">
        <f>A486&amp;" "&amp;B486&amp;" "&amp;C486</f>
        <v>1978 Saab 99 Turbo</v>
      </c>
    </row>
    <row r="487" spans="1:27" ht="12.95" customHeight="1">
      <c r="A487" s="394">
        <v>2003</v>
      </c>
      <c r="B487" s="394" t="s">
        <v>248</v>
      </c>
      <c r="C487" s="394" t="s">
        <v>966</v>
      </c>
      <c r="D487" s="410">
        <v>1500000</v>
      </c>
      <c r="E487" s="394" t="s">
        <v>1091</v>
      </c>
      <c r="F487" s="394">
        <v>836</v>
      </c>
      <c r="G487" s="396">
        <v>7.2</v>
      </c>
      <c r="H487" s="396">
        <v>8.3000000000000007</v>
      </c>
      <c r="I487" s="396">
        <v>9.5</v>
      </c>
      <c r="J487" s="396">
        <v>8.6999999999999993</v>
      </c>
      <c r="K487" s="396">
        <v>8.4</v>
      </c>
      <c r="L487" s="394" t="s">
        <v>1075</v>
      </c>
      <c r="M487" s="394"/>
      <c r="N487" s="389">
        <f>AVERAGE(H487,I487,K487)</f>
        <v>8.7333333333333343</v>
      </c>
      <c r="O487" s="397">
        <v>2535</v>
      </c>
      <c r="P487" s="398">
        <v>1990</v>
      </c>
      <c r="Q487" s="397">
        <v>1041</v>
      </c>
      <c r="R487" s="397">
        <v>2700</v>
      </c>
      <c r="S487" s="397">
        <v>1748</v>
      </c>
      <c r="T487" s="397">
        <v>1710</v>
      </c>
      <c r="U487" s="397">
        <v>325</v>
      </c>
      <c r="V487" s="397">
        <v>325</v>
      </c>
      <c r="W487" s="397">
        <v>381</v>
      </c>
      <c r="X487" s="397">
        <v>355</v>
      </c>
      <c r="Y487" s="399">
        <f>S487-('FMTC Main'!$E$22-U487)</f>
        <v>2073</v>
      </c>
      <c r="Z487" s="399">
        <f>T487-('FMTC Main'!$E$27-V487)</f>
        <v>2035</v>
      </c>
      <c r="AA487" s="400" t="str">
        <f>A487&amp;" "&amp;B487&amp;" "&amp;C487</f>
        <v>2003 Saleen #2 Konrad Motorsport S7R</v>
      </c>
    </row>
    <row r="488" spans="1:27" ht="12.95" customHeight="1">
      <c r="A488" s="394">
        <v>2000</v>
      </c>
      <c r="B488" s="394" t="s">
        <v>248</v>
      </c>
      <c r="C488" s="394" t="s">
        <v>335</v>
      </c>
      <c r="D488" s="410">
        <v>20000</v>
      </c>
      <c r="E488" s="394" t="s">
        <v>1088</v>
      </c>
      <c r="F488" s="394">
        <v>447</v>
      </c>
      <c r="G488" s="396">
        <v>6.2</v>
      </c>
      <c r="H488" s="396">
        <v>4.9000000000000004</v>
      </c>
      <c r="I488" s="396">
        <v>6.9</v>
      </c>
      <c r="J488" s="396">
        <v>6.7</v>
      </c>
      <c r="K488" s="396">
        <v>4.7</v>
      </c>
      <c r="L488" s="394" t="s">
        <v>1075</v>
      </c>
      <c r="M488" s="394"/>
      <c r="N488" s="389">
        <f>AVERAGE(H488,I488,K488)</f>
        <v>5.5</v>
      </c>
      <c r="O488" s="397">
        <v>3064</v>
      </c>
      <c r="P488" s="398">
        <v>1857</v>
      </c>
      <c r="Q488" s="397">
        <v>1349</v>
      </c>
      <c r="R488" s="397">
        <v>2573</v>
      </c>
      <c r="S488" s="397">
        <v>1516</v>
      </c>
      <c r="T488" s="397">
        <v>1562</v>
      </c>
      <c r="U488" s="397">
        <v>265</v>
      </c>
      <c r="V488" s="397">
        <v>295</v>
      </c>
      <c r="W488" s="397">
        <v>274</v>
      </c>
      <c r="X488" s="397">
        <v>267</v>
      </c>
      <c r="Y488" s="399">
        <f>S488-('FMTC Main'!$E$22-U488)</f>
        <v>1781</v>
      </c>
      <c r="Z488" s="399">
        <f>T488-('FMTC Main'!$E$27-V488)</f>
        <v>1857</v>
      </c>
      <c r="AA488" s="400" t="str">
        <f>A488&amp;" "&amp;B488&amp;" "&amp;C488</f>
        <v>2000 Saleen S281</v>
      </c>
    </row>
    <row r="489" spans="1:27" ht="12.95" customHeight="1">
      <c r="A489" s="394">
        <v>2006</v>
      </c>
      <c r="B489" s="394" t="s">
        <v>248</v>
      </c>
      <c r="C489" s="394" t="s">
        <v>249</v>
      </c>
      <c r="D489" s="410">
        <v>38000</v>
      </c>
      <c r="E489" s="394" t="s">
        <v>349</v>
      </c>
      <c r="F489" s="394">
        <v>513</v>
      </c>
      <c r="G489" s="396">
        <v>7.3</v>
      </c>
      <c r="H489" s="396">
        <v>4.9000000000000004</v>
      </c>
      <c r="I489" s="396">
        <v>7.7</v>
      </c>
      <c r="J489" s="396">
        <v>7</v>
      </c>
      <c r="K489" s="396">
        <v>4.9000000000000004</v>
      </c>
      <c r="L489" s="394" t="s">
        <v>1075</v>
      </c>
      <c r="M489" s="394"/>
      <c r="N489" s="389">
        <f>AVERAGE(H489,I489,K489)</f>
        <v>5.833333333333333</v>
      </c>
      <c r="O489" s="397">
        <v>3556</v>
      </c>
      <c r="P489" s="398">
        <v>1880</v>
      </c>
      <c r="Q489" s="397">
        <v>1422</v>
      </c>
      <c r="R489" s="397">
        <v>2720</v>
      </c>
      <c r="S489" s="397">
        <v>1623</v>
      </c>
      <c r="T489" s="397">
        <v>1595</v>
      </c>
      <c r="U489" s="397">
        <v>275</v>
      </c>
      <c r="V489" s="397">
        <v>275</v>
      </c>
      <c r="W489" s="397">
        <v>315</v>
      </c>
      <c r="X489" s="397">
        <v>300</v>
      </c>
      <c r="Y489" s="399">
        <f>S489-('FMTC Main'!$E$22-U489)</f>
        <v>1898</v>
      </c>
      <c r="Z489" s="399">
        <f>T489-('FMTC Main'!$E$27-V489)</f>
        <v>1870</v>
      </c>
      <c r="AA489" s="400" t="str">
        <f>A489&amp;" "&amp;B489&amp;" "&amp;C489</f>
        <v>2006 Saleen S281 E</v>
      </c>
    </row>
    <row r="490" spans="1:27" ht="12.95" customHeight="1">
      <c r="A490" s="394">
        <v>2008</v>
      </c>
      <c r="B490" s="394" t="s">
        <v>248</v>
      </c>
      <c r="C490" s="394" t="s">
        <v>250</v>
      </c>
      <c r="D490" s="410">
        <v>40000</v>
      </c>
      <c r="E490" s="394" t="s">
        <v>1085</v>
      </c>
      <c r="F490" s="394">
        <v>304</v>
      </c>
      <c r="G490" s="396">
        <v>5.0999999999999996</v>
      </c>
      <c r="H490" s="396">
        <v>3.8</v>
      </c>
      <c r="I490" s="396">
        <v>5.8</v>
      </c>
      <c r="J490" s="396">
        <v>5.4</v>
      </c>
      <c r="K490" s="396">
        <v>4</v>
      </c>
      <c r="L490" s="394" t="s">
        <v>1075</v>
      </c>
      <c r="M490" s="394"/>
      <c r="N490" s="389">
        <f>AVERAGE(H490,I490,K490)</f>
        <v>4.5333333333333332</v>
      </c>
      <c r="O490" s="397">
        <v>5500</v>
      </c>
      <c r="P490" s="398">
        <v>2004</v>
      </c>
      <c r="Q490" s="397">
        <v>1803</v>
      </c>
      <c r="R490" s="397">
        <v>3670</v>
      </c>
      <c r="S490" s="397">
        <v>1701</v>
      </c>
      <c r="T490" s="397">
        <v>1701</v>
      </c>
      <c r="U490" s="397">
        <v>305</v>
      </c>
      <c r="V490" s="397">
        <v>305</v>
      </c>
      <c r="W490" s="397">
        <v>330</v>
      </c>
      <c r="X490" s="397">
        <v>347</v>
      </c>
      <c r="Y490" s="399">
        <f>S490-('FMTC Main'!$E$22-U490)</f>
        <v>2006</v>
      </c>
      <c r="Z490" s="399">
        <f>T490-('FMTC Main'!$E$27-V490)</f>
        <v>2006</v>
      </c>
      <c r="AA490" s="400" t="str">
        <f>A490&amp;" "&amp;B490&amp;" "&amp;C490</f>
        <v>2008 Saleen S331 Supercab</v>
      </c>
    </row>
    <row r="491" spans="1:27" ht="12.95" customHeight="1">
      <c r="A491" s="394">
        <v>2010</v>
      </c>
      <c r="B491" s="394" t="s">
        <v>248</v>
      </c>
      <c r="C491" s="394" t="s">
        <v>638</v>
      </c>
      <c r="D491" s="410">
        <v>180000</v>
      </c>
      <c r="E491" s="394" t="s">
        <v>1092</v>
      </c>
      <c r="F491" s="394">
        <v>623</v>
      </c>
      <c r="G491" s="396">
        <v>7.5</v>
      </c>
      <c r="H491" s="396">
        <v>5.8</v>
      </c>
      <c r="I491" s="396">
        <v>8.6999999999999993</v>
      </c>
      <c r="J491" s="396">
        <v>7.9</v>
      </c>
      <c r="K491" s="396">
        <v>5.8</v>
      </c>
      <c r="L491" s="394" t="s">
        <v>1075</v>
      </c>
      <c r="M491" s="394"/>
      <c r="N491" s="389">
        <f>AVERAGE(H491,I491,K491)</f>
        <v>6.7666666666666666</v>
      </c>
      <c r="O491" s="397">
        <v>3365</v>
      </c>
      <c r="P491" s="398">
        <v>1996</v>
      </c>
      <c r="Q491" s="397">
        <v>1168</v>
      </c>
      <c r="R491" s="397">
        <v>2700</v>
      </c>
      <c r="S491" s="397">
        <v>1676</v>
      </c>
      <c r="T491" s="397">
        <v>1745</v>
      </c>
      <c r="U491" s="397">
        <v>275</v>
      </c>
      <c r="V491" s="397">
        <v>315</v>
      </c>
      <c r="W491" s="397">
        <v>381</v>
      </c>
      <c r="X491" s="397">
        <v>308</v>
      </c>
      <c r="Y491" s="399">
        <f>S491-('FMTC Main'!$E$22-U491)</f>
        <v>1951</v>
      </c>
      <c r="Z491" s="399">
        <f>T491-('FMTC Main'!$E$27-V491)</f>
        <v>2060</v>
      </c>
      <c r="AA491" s="400" t="str">
        <f>A491&amp;" "&amp;B491&amp;" "&amp;C491</f>
        <v>2010 Saleen S5S Raptor</v>
      </c>
    </row>
    <row r="492" spans="1:27" ht="12.95" customHeight="1">
      <c r="A492" s="394">
        <v>2004</v>
      </c>
      <c r="B492" s="394" t="s">
        <v>248</v>
      </c>
      <c r="C492" s="394" t="s">
        <v>251</v>
      </c>
      <c r="D492" s="410">
        <v>320000</v>
      </c>
      <c r="E492" s="394" t="s">
        <v>1094</v>
      </c>
      <c r="F492" s="394">
        <v>715</v>
      </c>
      <c r="G492" s="396">
        <v>10</v>
      </c>
      <c r="H492" s="396">
        <v>6.5</v>
      </c>
      <c r="I492" s="396">
        <v>9.1</v>
      </c>
      <c r="J492" s="396">
        <v>8.6</v>
      </c>
      <c r="K492" s="396">
        <v>6.3</v>
      </c>
      <c r="L492" s="394" t="s">
        <v>1075</v>
      </c>
      <c r="M492" s="394"/>
      <c r="N492" s="389">
        <f>AVERAGE(H492,I492,K492)</f>
        <v>7.3</v>
      </c>
      <c r="O492" s="397">
        <v>2756</v>
      </c>
      <c r="P492" s="398">
        <v>1988</v>
      </c>
      <c r="Q492" s="397">
        <v>1041</v>
      </c>
      <c r="R492" s="397">
        <v>2692</v>
      </c>
      <c r="S492" s="397">
        <v>1747</v>
      </c>
      <c r="T492" s="397">
        <v>1709</v>
      </c>
      <c r="U492" s="397">
        <v>275</v>
      </c>
      <c r="V492" s="397">
        <v>345</v>
      </c>
      <c r="W492" s="397">
        <v>381</v>
      </c>
      <c r="X492" s="397">
        <v>355</v>
      </c>
      <c r="Y492" s="399">
        <f>S492-('FMTC Main'!$E$22-U492)</f>
        <v>2022</v>
      </c>
      <c r="Z492" s="399">
        <f>T492-('FMTC Main'!$E$27-V492)</f>
        <v>2054</v>
      </c>
      <c r="AA492" s="400" t="str">
        <f>A492&amp;" "&amp;B492&amp;" "&amp;C492</f>
        <v>2004 Saleen S7</v>
      </c>
    </row>
    <row r="493" spans="1:27" ht="12.95" customHeight="1">
      <c r="A493" s="394">
        <v>2006</v>
      </c>
      <c r="B493" s="394" t="s">
        <v>252</v>
      </c>
      <c r="C493" s="394" t="s">
        <v>253</v>
      </c>
      <c r="D493" s="410">
        <v>9000</v>
      </c>
      <c r="E493" s="394" t="s">
        <v>1087</v>
      </c>
      <c r="F493" s="394">
        <v>392</v>
      </c>
      <c r="G493" s="396">
        <v>5.2</v>
      </c>
      <c r="H493" s="396">
        <v>4.7</v>
      </c>
      <c r="I493" s="396">
        <v>6</v>
      </c>
      <c r="J493" s="396">
        <v>5.9</v>
      </c>
      <c r="K493" s="396">
        <v>4.5</v>
      </c>
      <c r="L493" s="394" t="s">
        <v>1075</v>
      </c>
      <c r="M493" s="394"/>
      <c r="N493" s="389">
        <f>AVERAGE(H493,I493,K493)</f>
        <v>5.0666666666666664</v>
      </c>
      <c r="O493" s="397">
        <v>2933</v>
      </c>
      <c r="P493" s="398">
        <v>1725</v>
      </c>
      <c r="Q493" s="397">
        <v>1422</v>
      </c>
      <c r="R493" s="397">
        <v>2621</v>
      </c>
      <c r="S493" s="397">
        <v>1494</v>
      </c>
      <c r="T493" s="397">
        <v>1483</v>
      </c>
      <c r="U493" s="397">
        <v>215</v>
      </c>
      <c r="V493" s="397">
        <v>215</v>
      </c>
      <c r="W493" s="397">
        <v>295</v>
      </c>
      <c r="X493" s="397">
        <v>270</v>
      </c>
      <c r="Y493" s="399">
        <f>S493-('FMTC Main'!$E$22-U493)</f>
        <v>1709</v>
      </c>
      <c r="Z493" s="399">
        <f>T493-('FMTC Main'!$E$27-V493)</f>
        <v>1698</v>
      </c>
      <c r="AA493" s="400" t="str">
        <f>A493&amp;" "&amp;B493&amp;" "&amp;C493</f>
        <v>2006 Saturn ION Red Line</v>
      </c>
    </row>
    <row r="494" spans="1:27" ht="12.95" customHeight="1">
      <c r="A494" s="394">
        <v>2007</v>
      </c>
      <c r="B494" s="394" t="s">
        <v>252</v>
      </c>
      <c r="C494" s="394" t="s">
        <v>254</v>
      </c>
      <c r="D494" s="410">
        <v>17000</v>
      </c>
      <c r="E494" s="394" t="s">
        <v>1087</v>
      </c>
      <c r="F494" s="394">
        <v>409</v>
      </c>
      <c r="G494" s="396">
        <v>4.8</v>
      </c>
      <c r="H494" s="396">
        <v>4.9000000000000004</v>
      </c>
      <c r="I494" s="396">
        <v>6.5</v>
      </c>
      <c r="J494" s="396">
        <v>6.8</v>
      </c>
      <c r="K494" s="396">
        <v>4.9000000000000004</v>
      </c>
      <c r="L494" s="394" t="s">
        <v>1075</v>
      </c>
      <c r="M494" s="394"/>
      <c r="N494" s="389">
        <f>AVERAGE(H494,I494,K494)</f>
        <v>5.4333333333333336</v>
      </c>
      <c r="O494" s="397">
        <v>2990</v>
      </c>
      <c r="P494" s="398">
        <v>1814</v>
      </c>
      <c r="Q494" s="397">
        <v>1273</v>
      </c>
      <c r="R494" s="397">
        <v>2415</v>
      </c>
      <c r="S494" s="397">
        <v>1542</v>
      </c>
      <c r="T494" s="397">
        <v>1560</v>
      </c>
      <c r="U494" s="397">
        <v>245</v>
      </c>
      <c r="V494" s="397">
        <v>245</v>
      </c>
      <c r="W494" s="397">
        <v>297</v>
      </c>
      <c r="X494" s="397">
        <v>277</v>
      </c>
      <c r="Y494" s="399">
        <f>S494-('FMTC Main'!$E$22-U494)</f>
        <v>1787</v>
      </c>
      <c r="Z494" s="399">
        <f>T494-('FMTC Main'!$E$27-V494)</f>
        <v>1805</v>
      </c>
      <c r="AA494" s="400" t="str">
        <f>A494&amp;" "&amp;B494&amp;" "&amp;C494</f>
        <v>2007 Saturn Sky Red Line</v>
      </c>
    </row>
    <row r="495" spans="1:27" ht="12.95" customHeight="1">
      <c r="A495" s="394">
        <v>2005</v>
      </c>
      <c r="B495" s="394" t="s">
        <v>255</v>
      </c>
      <c r="C495" s="394" t="s">
        <v>256</v>
      </c>
      <c r="D495" s="395">
        <v>10000</v>
      </c>
      <c r="E495" s="394" t="s">
        <v>1083</v>
      </c>
      <c r="F495" s="394">
        <v>271</v>
      </c>
      <c r="G495" s="396">
        <v>3.8</v>
      </c>
      <c r="H495" s="396">
        <v>4.0999999999999996</v>
      </c>
      <c r="I495" s="396">
        <v>5.3</v>
      </c>
      <c r="J495" s="396">
        <v>5.6</v>
      </c>
      <c r="K495" s="396">
        <v>4</v>
      </c>
      <c r="L495" s="394" t="s">
        <v>1075</v>
      </c>
      <c r="M495" s="394"/>
      <c r="N495" s="389">
        <f>AVERAGE(H495,I495,K495)</f>
        <v>4.4666666666666659</v>
      </c>
      <c r="O495" s="397">
        <v>2905</v>
      </c>
      <c r="P495" s="398">
        <v>1755</v>
      </c>
      <c r="Q495" s="397">
        <v>1415</v>
      </c>
      <c r="R495" s="397">
        <v>2700</v>
      </c>
      <c r="S495" s="397">
        <v>1506</v>
      </c>
      <c r="T495" s="397">
        <v>1506</v>
      </c>
      <c r="U495" s="397">
        <v>215</v>
      </c>
      <c r="V495" s="397">
        <v>215</v>
      </c>
      <c r="W495" s="397">
        <v>275</v>
      </c>
      <c r="X495" s="397">
        <v>269</v>
      </c>
      <c r="Y495" s="399">
        <f>S495-('FMTC Main'!$E$22-U495)</f>
        <v>1721</v>
      </c>
      <c r="Z495" s="399">
        <f>T495-('FMTC Main'!$E$27-V495)</f>
        <v>1721</v>
      </c>
      <c r="AA495" s="400" t="str">
        <f>A495&amp;" "&amp;B495&amp;" "&amp;C495</f>
        <v>2005 Scion tC</v>
      </c>
    </row>
    <row r="496" spans="1:27" ht="12.95" customHeight="1">
      <c r="A496" s="394">
        <v>2009</v>
      </c>
      <c r="B496" s="394" t="s">
        <v>255</v>
      </c>
      <c r="C496" s="394" t="s">
        <v>257</v>
      </c>
      <c r="D496" s="410">
        <v>11000</v>
      </c>
      <c r="E496" s="394" t="s">
        <v>1083</v>
      </c>
      <c r="F496" s="394">
        <v>223</v>
      </c>
      <c r="G496" s="396">
        <v>3.2</v>
      </c>
      <c r="H496" s="396">
        <v>4.5999999999999996</v>
      </c>
      <c r="I496" s="396">
        <v>4.4000000000000004</v>
      </c>
      <c r="J496" s="396">
        <v>4.7</v>
      </c>
      <c r="K496" s="396">
        <v>4.5</v>
      </c>
      <c r="L496" s="394" t="s">
        <v>1075</v>
      </c>
      <c r="M496" s="394"/>
      <c r="N496" s="389">
        <f>AVERAGE(H496,I496,K496)</f>
        <v>4.5</v>
      </c>
      <c r="O496" s="397">
        <v>2624</v>
      </c>
      <c r="P496" s="398">
        <v>1725</v>
      </c>
      <c r="Q496" s="397">
        <v>1524</v>
      </c>
      <c r="R496" s="397">
        <v>2460</v>
      </c>
      <c r="S496" s="397">
        <v>1486</v>
      </c>
      <c r="T496" s="397">
        <v>1491</v>
      </c>
      <c r="U496" s="397">
        <v>195</v>
      </c>
      <c r="V496" s="397">
        <v>195</v>
      </c>
      <c r="W496" s="397">
        <v>274</v>
      </c>
      <c r="X496" s="397">
        <v>229</v>
      </c>
      <c r="Y496" s="399">
        <f>S496-('FMTC Main'!$E$22-U496)</f>
        <v>1681</v>
      </c>
      <c r="Z496" s="399">
        <f>T496-('FMTC Main'!$E$27-V496)</f>
        <v>1686</v>
      </c>
      <c r="AA496" s="400" t="str">
        <f>A496&amp;" "&amp;B496&amp;" "&amp;C496</f>
        <v>2009 Scion xD</v>
      </c>
    </row>
    <row r="497" spans="1:27" ht="12.95" customHeight="1">
      <c r="A497" s="394">
        <v>2009</v>
      </c>
      <c r="B497" s="394" t="s">
        <v>258</v>
      </c>
      <c r="C497" s="394" t="s">
        <v>259</v>
      </c>
      <c r="D497" s="410">
        <v>17000</v>
      </c>
      <c r="E497" s="394" t="s">
        <v>1085</v>
      </c>
      <c r="F497" s="394">
        <v>342</v>
      </c>
      <c r="G497" s="396">
        <v>4</v>
      </c>
      <c r="H497" s="396">
        <v>4.8</v>
      </c>
      <c r="I497" s="396">
        <v>5.6</v>
      </c>
      <c r="J497" s="396">
        <v>6.1</v>
      </c>
      <c r="K497" s="396">
        <v>4.7</v>
      </c>
      <c r="L497" s="394" t="s">
        <v>1106</v>
      </c>
      <c r="M497" s="394"/>
      <c r="N497" s="389">
        <f>AVERAGE(H497,I497,K497)</f>
        <v>5.0333333333333323</v>
      </c>
      <c r="O497" s="397">
        <v>2577</v>
      </c>
      <c r="P497" s="398">
        <v>1693</v>
      </c>
      <c r="Q497" s="397">
        <v>1420</v>
      </c>
      <c r="R497" s="397">
        <v>2469</v>
      </c>
      <c r="S497" s="397">
        <v>1449</v>
      </c>
      <c r="T497" s="397">
        <v>1441</v>
      </c>
      <c r="U497" s="397">
        <v>215</v>
      </c>
      <c r="V497" s="397">
        <v>215</v>
      </c>
      <c r="W497" s="397">
        <v>288</v>
      </c>
      <c r="X497" s="397">
        <v>232</v>
      </c>
      <c r="Y497" s="399">
        <f>S497-('FMTC Main'!$E$22-U497)</f>
        <v>1664</v>
      </c>
      <c r="Z497" s="399">
        <f>T497-('FMTC Main'!$E$27-V497)</f>
        <v>1656</v>
      </c>
      <c r="AA497" s="400" t="str">
        <f>A497&amp;" "&amp;B497&amp;" "&amp;C497</f>
        <v>2009 SEAT Ibiza Cupra</v>
      </c>
    </row>
    <row r="498" spans="1:27" ht="12.95" customHeight="1">
      <c r="A498" s="394">
        <v>2007</v>
      </c>
      <c r="B498" s="394" t="s">
        <v>258</v>
      </c>
      <c r="C498" s="394" t="s">
        <v>260</v>
      </c>
      <c r="D498" s="411">
        <v>19000</v>
      </c>
      <c r="E498" s="394" t="s">
        <v>1087</v>
      </c>
      <c r="F498" s="394">
        <v>421</v>
      </c>
      <c r="G498" s="396">
        <v>5.0999999999999996</v>
      </c>
      <c r="H498" s="396">
        <v>4.8</v>
      </c>
      <c r="I498" s="396">
        <v>6.4</v>
      </c>
      <c r="J498" s="396">
        <v>6.4</v>
      </c>
      <c r="K498" s="396">
        <v>4.7</v>
      </c>
      <c r="L498" s="394" t="s">
        <v>1106</v>
      </c>
      <c r="M498" s="394"/>
      <c r="N498" s="389">
        <f>AVERAGE(H498,I498,K498)</f>
        <v>5.3</v>
      </c>
      <c r="O498" s="397">
        <v>2941</v>
      </c>
      <c r="P498" s="398">
        <v>1768</v>
      </c>
      <c r="Q498" s="397">
        <v>1458</v>
      </c>
      <c r="R498" s="397">
        <v>2578</v>
      </c>
      <c r="S498" s="397">
        <v>1524</v>
      </c>
      <c r="T498" s="397">
        <v>1498</v>
      </c>
      <c r="U498" s="397">
        <v>225</v>
      </c>
      <c r="V498" s="397">
        <v>225</v>
      </c>
      <c r="W498" s="397">
        <v>345</v>
      </c>
      <c r="X498" s="397">
        <v>286</v>
      </c>
      <c r="Y498" s="399">
        <f>S498-('FMTC Main'!$E$22-U498)</f>
        <v>1749</v>
      </c>
      <c r="Z498" s="399">
        <f>T498-('FMTC Main'!$E$27-V498)</f>
        <v>1723</v>
      </c>
      <c r="AA498" s="400" t="str">
        <f>A498&amp;" "&amp;B498&amp;" "&amp;C498</f>
        <v>2007 SEAT Leon Cupra</v>
      </c>
    </row>
    <row r="499" spans="1:27" ht="12.95" customHeight="1">
      <c r="A499" s="394">
        <v>2003</v>
      </c>
      <c r="B499" s="394" t="s">
        <v>258</v>
      </c>
      <c r="C499" s="394" t="s">
        <v>321</v>
      </c>
      <c r="D499" s="410">
        <v>10000</v>
      </c>
      <c r="E499" s="394" t="s">
        <v>1087</v>
      </c>
      <c r="F499" s="394">
        <v>401</v>
      </c>
      <c r="G499" s="396">
        <v>4.9000000000000004</v>
      </c>
      <c r="H499" s="396">
        <v>5</v>
      </c>
      <c r="I499" s="396">
        <v>6</v>
      </c>
      <c r="J499" s="396">
        <v>6.2</v>
      </c>
      <c r="K499" s="396">
        <v>4.9000000000000004</v>
      </c>
      <c r="L499" s="394" t="s">
        <v>1106</v>
      </c>
      <c r="M499" s="394"/>
      <c r="N499" s="389">
        <f>AVERAGE(H499,I499,K499)</f>
        <v>5.3</v>
      </c>
      <c r="O499" s="397">
        <v>3012</v>
      </c>
      <c r="P499" s="398">
        <v>1742</v>
      </c>
      <c r="Q499" s="397">
        <v>1439</v>
      </c>
      <c r="R499" s="397">
        <v>2513</v>
      </c>
      <c r="S499" s="397">
        <v>1513</v>
      </c>
      <c r="T499" s="397">
        <v>1494</v>
      </c>
      <c r="U499" s="397">
        <v>225</v>
      </c>
      <c r="V499" s="397">
        <v>225</v>
      </c>
      <c r="W499" s="397">
        <v>312</v>
      </c>
      <c r="X499" s="397">
        <v>256</v>
      </c>
      <c r="Y499" s="399">
        <f>S499-('FMTC Main'!$E$22-U499)</f>
        <v>1738</v>
      </c>
      <c r="Z499" s="399">
        <f>T499-('FMTC Main'!$E$27-V499)</f>
        <v>1719</v>
      </c>
      <c r="AA499" s="400" t="str">
        <f>A499&amp;" "&amp;B499&amp;" "&amp;C499</f>
        <v>2003 SEAT Leon Cupra R</v>
      </c>
    </row>
    <row r="500" spans="1:27" ht="12.95" customHeight="1">
      <c r="A500" s="394">
        <v>2010</v>
      </c>
      <c r="B500" s="394" t="s">
        <v>258</v>
      </c>
      <c r="C500" s="394" t="s">
        <v>321</v>
      </c>
      <c r="D500" s="395">
        <v>24000</v>
      </c>
      <c r="E500" s="394" t="s">
        <v>1088</v>
      </c>
      <c r="F500" s="394">
        <v>439</v>
      </c>
      <c r="G500" s="396">
        <v>5.5</v>
      </c>
      <c r="H500" s="396">
        <v>4.9000000000000004</v>
      </c>
      <c r="I500" s="396">
        <v>6.6</v>
      </c>
      <c r="J500" s="396">
        <v>6.5</v>
      </c>
      <c r="K500" s="396">
        <v>4.7</v>
      </c>
      <c r="L500" s="394" t="s">
        <v>1106</v>
      </c>
      <c r="M500" s="394"/>
      <c r="N500" s="389">
        <f>AVERAGE(H500,I500,K500)</f>
        <v>5.3999999999999995</v>
      </c>
      <c r="O500" s="397">
        <v>3031</v>
      </c>
      <c r="P500" s="398">
        <v>1768</v>
      </c>
      <c r="Q500" s="397">
        <v>1443</v>
      </c>
      <c r="R500" s="397">
        <v>2578</v>
      </c>
      <c r="S500" s="397">
        <v>1528</v>
      </c>
      <c r="T500" s="397">
        <v>1519</v>
      </c>
      <c r="U500" s="397">
        <v>235</v>
      </c>
      <c r="V500" s="397">
        <v>235</v>
      </c>
      <c r="W500" s="397">
        <v>312</v>
      </c>
      <c r="X500" s="397">
        <v>286</v>
      </c>
      <c r="Y500" s="399">
        <f>S500-('FMTC Main'!$E$22-U500)</f>
        <v>1763</v>
      </c>
      <c r="Z500" s="399">
        <f>T500-('FMTC Main'!$E$27-V500)</f>
        <v>1754</v>
      </c>
      <c r="AA500" s="400" t="str">
        <f>A500&amp;" "&amp;B500&amp;" "&amp;C500</f>
        <v>2010 SEAT Leon Cupra R</v>
      </c>
    </row>
    <row r="501" spans="1:27" ht="12.95" customHeight="1">
      <c r="A501" s="394">
        <v>2007</v>
      </c>
      <c r="B501" s="394" t="s">
        <v>258</v>
      </c>
      <c r="C501" s="394" t="s">
        <v>261</v>
      </c>
      <c r="D501" s="410">
        <v>150000</v>
      </c>
      <c r="E501" s="394" t="s">
        <v>349</v>
      </c>
      <c r="F501" s="394">
        <v>536</v>
      </c>
      <c r="G501" s="396">
        <v>3.6</v>
      </c>
      <c r="H501" s="396">
        <v>6.7</v>
      </c>
      <c r="I501" s="396">
        <v>7</v>
      </c>
      <c r="J501" s="396">
        <v>7.1</v>
      </c>
      <c r="K501" s="396">
        <v>6.8</v>
      </c>
      <c r="L501" s="394" t="s">
        <v>1106</v>
      </c>
      <c r="M501" s="394"/>
      <c r="N501" s="389">
        <f>AVERAGE(H501,I501,K501)</f>
        <v>6.833333333333333</v>
      </c>
      <c r="O501" s="397">
        <v>2425</v>
      </c>
      <c r="P501" s="398">
        <v>1987</v>
      </c>
      <c r="Q501" s="397">
        <v>1384</v>
      </c>
      <c r="R501" s="397">
        <v>2594</v>
      </c>
      <c r="S501" s="397">
        <v>1652</v>
      </c>
      <c r="T501" s="397">
        <v>1576</v>
      </c>
      <c r="U501" s="397">
        <v>230</v>
      </c>
      <c r="V501" s="397">
        <v>210</v>
      </c>
      <c r="W501" s="397">
        <v>362</v>
      </c>
      <c r="X501" s="397">
        <v>255</v>
      </c>
      <c r="Y501" s="399">
        <f>S501-('FMTC Main'!$E$22-U501)</f>
        <v>1882</v>
      </c>
      <c r="Z501" s="399">
        <f>T501-('FMTC Main'!$E$27-V501)</f>
        <v>1786</v>
      </c>
      <c r="AA501" s="400" t="str">
        <f>A501&amp;" "&amp;B501&amp;" "&amp;C501</f>
        <v>2007 SEAT Leon Supercup</v>
      </c>
    </row>
    <row r="502" spans="1:27" ht="12.95" customHeight="1">
      <c r="A502" s="394">
        <v>1965</v>
      </c>
      <c r="B502" s="394" t="s">
        <v>263</v>
      </c>
      <c r="C502" s="394" t="s">
        <v>336</v>
      </c>
      <c r="D502" s="395">
        <v>1500000</v>
      </c>
      <c r="E502" s="394" t="s">
        <v>349</v>
      </c>
      <c r="F502" s="394">
        <v>503</v>
      </c>
      <c r="G502" s="396">
        <v>5.7</v>
      </c>
      <c r="H502" s="396">
        <v>4.5999999999999996</v>
      </c>
      <c r="I502" s="396">
        <v>8.1</v>
      </c>
      <c r="J502" s="396">
        <v>7</v>
      </c>
      <c r="K502" s="396">
        <v>4.5</v>
      </c>
      <c r="L502" s="394" t="s">
        <v>1075</v>
      </c>
      <c r="M502" s="394"/>
      <c r="N502" s="389">
        <f>AVERAGE(H502,I502,K502)</f>
        <v>5.7333333333333334</v>
      </c>
      <c r="O502" s="397">
        <v>2350</v>
      </c>
      <c r="P502" s="398">
        <v>1727</v>
      </c>
      <c r="Q502" s="397">
        <v>1245</v>
      </c>
      <c r="R502" s="397">
        <v>2286</v>
      </c>
      <c r="S502" s="397">
        <v>1422</v>
      </c>
      <c r="T502" s="397">
        <v>1422</v>
      </c>
      <c r="U502" s="397">
        <v>205</v>
      </c>
      <c r="V502" s="397">
        <v>205</v>
      </c>
      <c r="W502" s="397">
        <v>304</v>
      </c>
      <c r="X502" s="397">
        <v>275</v>
      </c>
      <c r="Y502" s="399">
        <f>S502-('FMTC Main'!$E$22-U502)</f>
        <v>1627</v>
      </c>
      <c r="Z502" s="399">
        <f>T502-('FMTC Main'!$E$27-V502)</f>
        <v>1627</v>
      </c>
      <c r="AA502" s="400" t="str">
        <f>A502&amp;" "&amp;B502&amp;" "&amp;C502</f>
        <v>1965 Shelby Cobra 427 S/C</v>
      </c>
    </row>
    <row r="503" spans="1:27" ht="12.95" customHeight="1">
      <c r="A503" s="394">
        <v>1965</v>
      </c>
      <c r="B503" s="394" t="s">
        <v>263</v>
      </c>
      <c r="C503" s="394" t="s">
        <v>348</v>
      </c>
      <c r="D503" s="395">
        <v>5000000</v>
      </c>
      <c r="E503" s="394" t="s">
        <v>349</v>
      </c>
      <c r="F503" s="394">
        <v>512</v>
      </c>
      <c r="G503" s="396">
        <v>7.3</v>
      </c>
      <c r="H503" s="396">
        <v>5</v>
      </c>
      <c r="I503" s="396">
        <v>7.7</v>
      </c>
      <c r="J503" s="396">
        <v>6.1</v>
      </c>
      <c r="K503" s="396">
        <v>4.7</v>
      </c>
      <c r="L503" s="394" t="s">
        <v>1075</v>
      </c>
      <c r="M503" s="394"/>
      <c r="N503" s="389">
        <f>AVERAGE(H503,I503,K503)</f>
        <v>5.8</v>
      </c>
      <c r="O503" s="397">
        <v>2300</v>
      </c>
      <c r="P503" s="398">
        <v>1720</v>
      </c>
      <c r="Q503" s="397">
        <v>1180</v>
      </c>
      <c r="R503" s="397">
        <v>2286</v>
      </c>
      <c r="S503" s="397">
        <v>1308</v>
      </c>
      <c r="T503" s="397">
        <v>1333</v>
      </c>
      <c r="U503" s="397">
        <v>205</v>
      </c>
      <c r="V503" s="397">
        <v>265</v>
      </c>
      <c r="W503" s="397">
        <v>279</v>
      </c>
      <c r="X503" s="397">
        <v>260</v>
      </c>
      <c r="Y503" s="399">
        <f>S503-('FMTC Main'!$E$22-U503)</f>
        <v>1513</v>
      </c>
      <c r="Z503" s="399">
        <f>T503-('FMTC Main'!$E$27-V503)</f>
        <v>1598</v>
      </c>
      <c r="AA503" s="400" t="str">
        <f>A503&amp;" "&amp;B503&amp;" "&amp;C503</f>
        <v>1965 Shelby Cobra Daytona Coupe</v>
      </c>
    </row>
    <row r="504" spans="1:27" ht="12.95" customHeight="1">
      <c r="A504" s="394">
        <v>1969</v>
      </c>
      <c r="B504" s="394" t="s">
        <v>263</v>
      </c>
      <c r="C504" s="394" t="s">
        <v>968</v>
      </c>
      <c r="D504" s="410">
        <v>80000</v>
      </c>
      <c r="E504" s="394" t="s">
        <v>1085</v>
      </c>
      <c r="F504" s="394">
        <v>304</v>
      </c>
      <c r="G504" s="396">
        <v>3</v>
      </c>
      <c r="H504" s="396">
        <v>3.6</v>
      </c>
      <c r="I504" s="396">
        <v>6.9</v>
      </c>
      <c r="J504" s="396">
        <v>5.8</v>
      </c>
      <c r="K504" s="396">
        <v>3.6</v>
      </c>
      <c r="L504" s="394" t="s">
        <v>1075</v>
      </c>
      <c r="M504" s="394" t="s">
        <v>1100</v>
      </c>
      <c r="N504" s="389">
        <f>AVERAGE(H504,I504,K504)</f>
        <v>4.7</v>
      </c>
      <c r="O504" s="397">
        <v>3850</v>
      </c>
      <c r="P504" s="398">
        <v>1826</v>
      </c>
      <c r="Q504" s="397">
        <v>1285</v>
      </c>
      <c r="R504" s="397">
        <v>2743</v>
      </c>
      <c r="S504" s="397">
        <v>1486</v>
      </c>
      <c r="T504" s="397">
        <v>1486</v>
      </c>
      <c r="U504" s="397">
        <v>205</v>
      </c>
      <c r="V504" s="397">
        <v>205</v>
      </c>
      <c r="W504" s="397">
        <v>287</v>
      </c>
      <c r="X504" s="397">
        <v>254</v>
      </c>
      <c r="Y504" s="399">
        <f>S504-('FMTC Main'!$E$22-U504)</f>
        <v>1691</v>
      </c>
      <c r="Z504" s="399">
        <f>T504-('FMTC Main'!$E$27-V504)</f>
        <v>1691</v>
      </c>
      <c r="AA504" s="400" t="str">
        <f>A504&amp;" "&amp;B504&amp;" "&amp;C504</f>
        <v>1969 Shelby GT500 428CJ</v>
      </c>
    </row>
    <row r="505" spans="1:27" ht="12.95" customHeight="1">
      <c r="A505" s="394">
        <v>1968</v>
      </c>
      <c r="B505" s="394" t="s">
        <v>263</v>
      </c>
      <c r="C505" s="394" t="s">
        <v>967</v>
      </c>
      <c r="D505" s="410">
        <v>110000</v>
      </c>
      <c r="E505" s="394" t="s">
        <v>1085</v>
      </c>
      <c r="F505" s="394">
        <v>324</v>
      </c>
      <c r="G505" s="396">
        <v>5.0999999999999996</v>
      </c>
      <c r="H505" s="396">
        <v>3.6</v>
      </c>
      <c r="I505" s="396">
        <v>6.9</v>
      </c>
      <c r="J505" s="396">
        <v>6</v>
      </c>
      <c r="K505" s="396">
        <v>3.5</v>
      </c>
      <c r="L505" s="394" t="s">
        <v>1075</v>
      </c>
      <c r="M505" s="394"/>
      <c r="N505" s="389">
        <f>AVERAGE(H505,I505,K505)</f>
        <v>4.666666666666667</v>
      </c>
      <c r="O505" s="397">
        <v>3569</v>
      </c>
      <c r="P505" s="398">
        <v>1801</v>
      </c>
      <c r="Q505" s="397">
        <v>1316</v>
      </c>
      <c r="R505" s="397">
        <v>2743</v>
      </c>
      <c r="S505" s="397">
        <v>1476</v>
      </c>
      <c r="T505" s="397">
        <v>1476</v>
      </c>
      <c r="U505" s="397">
        <v>215</v>
      </c>
      <c r="V505" s="397">
        <v>215</v>
      </c>
      <c r="W505" s="397">
        <v>287</v>
      </c>
      <c r="X505" s="397">
        <v>254</v>
      </c>
      <c r="Y505" s="399">
        <f>S505-('FMTC Main'!$E$22-U505)</f>
        <v>1691</v>
      </c>
      <c r="Z505" s="399">
        <f>T505-('FMTC Main'!$E$27-V505)</f>
        <v>1691</v>
      </c>
      <c r="AA505" s="400" t="str">
        <f>A505&amp;" "&amp;B505&amp;" "&amp;C505</f>
        <v>1968 Shelby GT-500KR</v>
      </c>
    </row>
    <row r="506" spans="1:27" ht="12.95" customHeight="1">
      <c r="A506" s="394">
        <v>1999</v>
      </c>
      <c r="B506" s="394" t="s">
        <v>263</v>
      </c>
      <c r="C506" s="394" t="s">
        <v>337</v>
      </c>
      <c r="D506" s="410">
        <v>130000</v>
      </c>
      <c r="E506" s="394" t="s">
        <v>349</v>
      </c>
      <c r="F506" s="394">
        <v>501</v>
      </c>
      <c r="G506" s="396">
        <v>5.8</v>
      </c>
      <c r="H506" s="396">
        <v>5.5</v>
      </c>
      <c r="I506" s="396">
        <v>7.4</v>
      </c>
      <c r="J506" s="396">
        <v>6.2</v>
      </c>
      <c r="K506" s="396">
        <v>5.4</v>
      </c>
      <c r="L506" s="394" t="s">
        <v>1075</v>
      </c>
      <c r="M506" s="394"/>
      <c r="N506" s="389">
        <f>AVERAGE(H506,I506,K506)</f>
        <v>6.1000000000000005</v>
      </c>
      <c r="O506" s="397">
        <v>2650</v>
      </c>
      <c r="P506" s="398">
        <v>1943</v>
      </c>
      <c r="Q506" s="397">
        <v>1194</v>
      </c>
      <c r="R506" s="397">
        <v>2443</v>
      </c>
      <c r="S506" s="397">
        <v>1509</v>
      </c>
      <c r="T506" s="397">
        <v>1534</v>
      </c>
      <c r="U506" s="397">
        <v>265</v>
      </c>
      <c r="V506" s="397">
        <v>315</v>
      </c>
      <c r="W506" s="397">
        <v>330</v>
      </c>
      <c r="X506" s="397">
        <v>305</v>
      </c>
      <c r="Y506" s="399">
        <f>S506-('FMTC Main'!$E$22-U506)</f>
        <v>1774</v>
      </c>
      <c r="Z506" s="399">
        <f>T506-('FMTC Main'!$E$27-V506)</f>
        <v>1849</v>
      </c>
      <c r="AA506" s="400" t="str">
        <f>A506&amp;" "&amp;B506&amp;" "&amp;C506</f>
        <v>1999 Shelby Series 1</v>
      </c>
    </row>
    <row r="507" spans="1:27" ht="12.95" customHeight="1">
      <c r="A507" s="394">
        <v>2010</v>
      </c>
      <c r="B507" s="394" t="s">
        <v>969</v>
      </c>
      <c r="C507" s="394" t="s">
        <v>970</v>
      </c>
      <c r="D507" s="410">
        <v>400000</v>
      </c>
      <c r="E507" s="394" t="s">
        <v>1092</v>
      </c>
      <c r="F507" s="394">
        <v>654</v>
      </c>
      <c r="G507" s="396">
        <v>9.6</v>
      </c>
      <c r="H507" s="396">
        <v>6</v>
      </c>
      <c r="I507" s="396">
        <v>8.6</v>
      </c>
      <c r="J507" s="396">
        <v>7.7</v>
      </c>
      <c r="K507" s="396">
        <v>5.9</v>
      </c>
      <c r="L507" s="394" t="s">
        <v>1084</v>
      </c>
      <c r="M507" s="394"/>
      <c r="N507" s="389">
        <f>AVERAGE(H507,I507,K507)</f>
        <v>6.833333333333333</v>
      </c>
      <c r="O507" s="397">
        <v>2998</v>
      </c>
      <c r="P507" s="398">
        <v>1960</v>
      </c>
      <c r="Q507" s="397">
        <v>1246</v>
      </c>
      <c r="R507" s="397">
        <v>2686</v>
      </c>
      <c r="S507" s="397">
        <v>1607</v>
      </c>
      <c r="T507" s="397">
        <v>1580</v>
      </c>
      <c r="U507" s="397">
        <v>285</v>
      </c>
      <c r="V507" s="397">
        <v>345</v>
      </c>
      <c r="W507" s="397">
        <v>380</v>
      </c>
      <c r="X507" s="397">
        <v>355</v>
      </c>
      <c r="Y507" s="399">
        <f>S507-('FMTC Main'!$E$22-U507)</f>
        <v>1892</v>
      </c>
      <c r="Z507" s="399">
        <f>T507-('FMTC Main'!$E$27-V507)</f>
        <v>1925</v>
      </c>
      <c r="AA507" s="400" t="str">
        <f>A507&amp;" "&amp;B507&amp;" "&amp;C507</f>
        <v>2010 Spada Vetture Codatronca TS</v>
      </c>
    </row>
    <row r="508" spans="1:27" ht="12.95" customHeight="1">
      <c r="A508" s="394">
        <v>2010</v>
      </c>
      <c r="B508" s="394" t="s">
        <v>971</v>
      </c>
      <c r="C508" s="394" t="s">
        <v>716</v>
      </c>
      <c r="D508" s="410">
        <v>250000</v>
      </c>
      <c r="E508" s="394" t="s">
        <v>349</v>
      </c>
      <c r="F508" s="394">
        <v>552</v>
      </c>
      <c r="G508" s="396">
        <v>7.6</v>
      </c>
      <c r="H508" s="396">
        <v>5.5</v>
      </c>
      <c r="I508" s="396">
        <v>7.7</v>
      </c>
      <c r="J508" s="396">
        <v>8</v>
      </c>
      <c r="K508" s="396">
        <v>5.4</v>
      </c>
      <c r="L508" s="394" t="s">
        <v>1107</v>
      </c>
      <c r="M508" s="394"/>
      <c r="N508" s="389">
        <f>AVERAGE(H508,I508,K508)</f>
        <v>6.2</v>
      </c>
      <c r="O508" s="397">
        <v>2811</v>
      </c>
      <c r="P508" s="398">
        <v>1880</v>
      </c>
      <c r="Q508" s="397">
        <v>1245</v>
      </c>
      <c r="R508" s="397">
        <v>2575</v>
      </c>
      <c r="S508" s="397">
        <v>1400</v>
      </c>
      <c r="T508" s="397">
        <v>1580</v>
      </c>
      <c r="U508" s="397">
        <v>235</v>
      </c>
      <c r="V508" s="397">
        <v>265</v>
      </c>
      <c r="W508" s="397">
        <v>356</v>
      </c>
      <c r="X508" s="397">
        <v>330</v>
      </c>
      <c r="Y508" s="399">
        <f>S508-('FMTC Main'!$E$22-U508)</f>
        <v>1635</v>
      </c>
      <c r="Z508" s="399">
        <f>T508-('FMTC Main'!$E$27-V508)</f>
        <v>1845</v>
      </c>
      <c r="AA508" s="400" t="str">
        <f>A508&amp;" "&amp;B508&amp;" "&amp;C508</f>
        <v>2010 Spyker C8 Laviolette LM85</v>
      </c>
    </row>
    <row r="509" spans="1:27" ht="12.95" customHeight="1">
      <c r="A509" s="394">
        <v>2010</v>
      </c>
      <c r="B509" s="394" t="s">
        <v>972</v>
      </c>
      <c r="C509" s="394" t="s">
        <v>717</v>
      </c>
      <c r="D509" s="410">
        <v>1000000</v>
      </c>
      <c r="E509" s="394" t="s">
        <v>1094</v>
      </c>
      <c r="F509" s="394">
        <v>756</v>
      </c>
      <c r="G509" s="396">
        <v>10</v>
      </c>
      <c r="H509" s="396">
        <v>6.1</v>
      </c>
      <c r="I509" s="396">
        <v>9.1999999999999993</v>
      </c>
      <c r="J509" s="396">
        <v>8.4</v>
      </c>
      <c r="K509" s="396">
        <v>6</v>
      </c>
      <c r="L509" s="394" t="s">
        <v>1075</v>
      </c>
      <c r="M509" s="394"/>
      <c r="N509" s="389">
        <f>AVERAGE(H509,I509,K509)</f>
        <v>7.0999999999999988</v>
      </c>
      <c r="O509" s="397">
        <v>2750</v>
      </c>
      <c r="P509" s="398">
        <v>2101</v>
      </c>
      <c r="Q509" s="397">
        <v>1092</v>
      </c>
      <c r="R509" s="397">
        <v>2672</v>
      </c>
      <c r="S509" s="397">
        <v>1530</v>
      </c>
      <c r="T509" s="397">
        <v>1530</v>
      </c>
      <c r="U509" s="397">
        <v>235</v>
      </c>
      <c r="V509" s="397">
        <v>335</v>
      </c>
      <c r="W509" s="397">
        <v>356</v>
      </c>
      <c r="X509" s="397">
        <v>356</v>
      </c>
      <c r="Y509" s="399">
        <f>S509-('FMTC Main'!$E$22-U509)</f>
        <v>1765</v>
      </c>
      <c r="Z509" s="399">
        <f>T509-('FMTC Main'!$E$27-V509)</f>
        <v>1865</v>
      </c>
      <c r="AA509" s="400" t="str">
        <f>A509&amp;" "&amp;B509&amp;" "&amp;C509</f>
        <v>2010 SSC Ultimate Aero</v>
      </c>
    </row>
    <row r="510" spans="1:27" ht="12.95" customHeight="1">
      <c r="A510" s="394">
        <v>2003</v>
      </c>
      <c r="B510" s="394" t="s">
        <v>264</v>
      </c>
      <c r="C510" s="394" t="s">
        <v>974</v>
      </c>
      <c r="D510" s="395">
        <v>900000</v>
      </c>
      <c r="E510" s="394" t="s">
        <v>1094</v>
      </c>
      <c r="F510" s="394">
        <v>737</v>
      </c>
      <c r="G510" s="396">
        <v>6.7</v>
      </c>
      <c r="H510" s="396">
        <v>8.3000000000000007</v>
      </c>
      <c r="I510" s="396">
        <v>8.1999999999999993</v>
      </c>
      <c r="J510" s="396">
        <v>8.1</v>
      </c>
      <c r="K510" s="396">
        <v>8.1999999999999993</v>
      </c>
      <c r="L510" s="394" t="s">
        <v>1103</v>
      </c>
      <c r="M510" s="394"/>
      <c r="N510" s="389">
        <f>AVERAGE(H510,I510,K510)</f>
        <v>8.2333333333333325</v>
      </c>
      <c r="O510" s="397">
        <v>2535</v>
      </c>
      <c r="P510" s="398">
        <v>1830</v>
      </c>
      <c r="Q510" s="397">
        <v>1210</v>
      </c>
      <c r="R510" s="397">
        <v>2540</v>
      </c>
      <c r="S510" s="397">
        <v>1530</v>
      </c>
      <c r="T510" s="397">
        <v>1530</v>
      </c>
      <c r="U510" s="397">
        <v>280</v>
      </c>
      <c r="V510" s="397">
        <v>280</v>
      </c>
      <c r="W510" s="397">
        <v>380</v>
      </c>
      <c r="X510" s="397">
        <v>355</v>
      </c>
      <c r="Y510" s="399">
        <f>S510-('FMTC Main'!$E$22-U510)</f>
        <v>1810</v>
      </c>
      <c r="Z510" s="399">
        <f>T510-('FMTC Main'!$E$27-V510)</f>
        <v>1810</v>
      </c>
      <c r="AA510" s="400" t="str">
        <f>A510&amp;" "&amp;B510&amp;" "&amp;C510</f>
        <v>2003 Subaru #77 Cusco Advan Impreza</v>
      </c>
    </row>
    <row r="511" spans="1:27" ht="12.95" customHeight="1">
      <c r="A511" s="394">
        <v>1998</v>
      </c>
      <c r="B511" s="394" t="s">
        <v>264</v>
      </c>
      <c r="C511" s="394" t="s">
        <v>973</v>
      </c>
      <c r="D511" s="410">
        <v>35000</v>
      </c>
      <c r="E511" s="394" t="s">
        <v>1088</v>
      </c>
      <c r="F511" s="394">
        <v>475</v>
      </c>
      <c r="G511" s="396">
        <v>5.2</v>
      </c>
      <c r="H511" s="396">
        <v>5.4</v>
      </c>
      <c r="I511" s="396">
        <v>6.6</v>
      </c>
      <c r="J511" s="396">
        <v>7.5</v>
      </c>
      <c r="K511" s="396">
        <v>5.3</v>
      </c>
      <c r="L511" s="394" t="s">
        <v>1103</v>
      </c>
      <c r="M511" s="394"/>
      <c r="N511" s="389">
        <f>AVERAGE(H511,I511,K511)</f>
        <v>5.7666666666666666</v>
      </c>
      <c r="O511" s="397">
        <v>2800</v>
      </c>
      <c r="P511" s="398">
        <v>1770</v>
      </c>
      <c r="Q511" s="397">
        <v>1390</v>
      </c>
      <c r="R511" s="397">
        <v>2520</v>
      </c>
      <c r="S511" s="397">
        <v>1480</v>
      </c>
      <c r="T511" s="397">
        <v>1500</v>
      </c>
      <c r="U511" s="397">
        <v>235</v>
      </c>
      <c r="V511" s="397">
        <v>235</v>
      </c>
      <c r="W511" s="397">
        <v>320</v>
      </c>
      <c r="X511" s="397">
        <v>266</v>
      </c>
      <c r="Y511" s="399">
        <f>S511-('FMTC Main'!$E$22-U511)</f>
        <v>1715</v>
      </c>
      <c r="Z511" s="399">
        <f>T511-('FMTC Main'!$E$27-V511)</f>
        <v>1735</v>
      </c>
      <c r="AA511" s="400" t="str">
        <f>A511&amp;" "&amp;B511&amp;" "&amp;C511</f>
        <v>1998 Subaru Impreza 22b STi</v>
      </c>
    </row>
    <row r="512" spans="1:27" ht="12.95" customHeight="1">
      <c r="A512" s="394">
        <v>2006</v>
      </c>
      <c r="B512" s="394" t="s">
        <v>264</v>
      </c>
      <c r="C512" s="394" t="s">
        <v>265</v>
      </c>
      <c r="D512" s="395">
        <v>52000</v>
      </c>
      <c r="E512" s="394" t="s">
        <v>349</v>
      </c>
      <c r="F512" s="394">
        <v>508</v>
      </c>
      <c r="G512" s="396">
        <v>5.9</v>
      </c>
      <c r="H512" s="396">
        <v>5.5</v>
      </c>
      <c r="I512" s="396">
        <v>6.8</v>
      </c>
      <c r="J512" s="396">
        <v>7.8</v>
      </c>
      <c r="K512" s="396">
        <v>5.4</v>
      </c>
      <c r="L512" s="394" t="s">
        <v>1103</v>
      </c>
      <c r="M512" s="394" t="s">
        <v>1096</v>
      </c>
      <c r="N512" s="389">
        <f>AVERAGE(H512,I512,K512)</f>
        <v>5.9000000000000012</v>
      </c>
      <c r="O512" s="397">
        <v>3197</v>
      </c>
      <c r="P512" s="398">
        <v>1740</v>
      </c>
      <c r="Q512" s="397">
        <v>1440</v>
      </c>
      <c r="R512" s="397">
        <v>2540</v>
      </c>
      <c r="S512" s="397">
        <v>1490</v>
      </c>
      <c r="T512" s="397">
        <v>1495</v>
      </c>
      <c r="U512" s="397">
        <v>235</v>
      </c>
      <c r="V512" s="397">
        <v>235</v>
      </c>
      <c r="W512" s="397">
        <v>326</v>
      </c>
      <c r="X512" s="397">
        <v>316</v>
      </c>
      <c r="Y512" s="399">
        <f>S512-('FMTC Main'!$E$22-U512)</f>
        <v>1725</v>
      </c>
      <c r="Z512" s="399">
        <f>T512-('FMTC Main'!$E$27-V512)</f>
        <v>1730</v>
      </c>
      <c r="AA512" s="400" t="str">
        <f>A512&amp;" "&amp;B512&amp;" "&amp;C512</f>
        <v>2006 Subaru Impreza S204</v>
      </c>
    </row>
    <row r="513" spans="1:27" ht="12.95" customHeight="1">
      <c r="A513" s="394">
        <v>2004</v>
      </c>
      <c r="B513" s="394" t="s">
        <v>264</v>
      </c>
      <c r="C513" s="394" t="s">
        <v>266</v>
      </c>
      <c r="D513" s="395">
        <v>15000</v>
      </c>
      <c r="E513" s="394" t="s">
        <v>1088</v>
      </c>
      <c r="F513" s="394">
        <v>489</v>
      </c>
      <c r="G513" s="396">
        <v>5.7</v>
      </c>
      <c r="H513" s="396">
        <v>5.4</v>
      </c>
      <c r="I513" s="396">
        <v>6.7</v>
      </c>
      <c r="J513" s="396">
        <v>7.7</v>
      </c>
      <c r="K513" s="396">
        <v>5.4</v>
      </c>
      <c r="L513" s="394" t="s">
        <v>1103</v>
      </c>
      <c r="M513" s="394"/>
      <c r="N513" s="389">
        <f>AVERAGE(H513,I513,K513)</f>
        <v>5.833333333333333</v>
      </c>
      <c r="O513" s="397">
        <v>3270</v>
      </c>
      <c r="P513" s="398">
        <v>1740</v>
      </c>
      <c r="Q513" s="397">
        <v>1430</v>
      </c>
      <c r="R513" s="397">
        <v>2540</v>
      </c>
      <c r="S513" s="397">
        <v>1490</v>
      </c>
      <c r="T513" s="397">
        <v>1495</v>
      </c>
      <c r="U513" s="397">
        <v>225</v>
      </c>
      <c r="V513" s="397">
        <v>225</v>
      </c>
      <c r="W513" s="397">
        <v>326</v>
      </c>
      <c r="X513" s="397">
        <v>316</v>
      </c>
      <c r="Y513" s="399">
        <f>S513-('FMTC Main'!$E$22-U513)</f>
        <v>1715</v>
      </c>
      <c r="Z513" s="399">
        <f>T513-('FMTC Main'!$E$27-V513)</f>
        <v>1720</v>
      </c>
      <c r="AA513" s="400" t="str">
        <f>A513&amp;" "&amp;B513&amp;" "&amp;C513</f>
        <v>2004 Subaru Impreza WRX STi</v>
      </c>
    </row>
    <row r="514" spans="1:27" ht="12.95" customHeight="1">
      <c r="A514" s="394">
        <v>2005</v>
      </c>
      <c r="B514" s="394" t="s">
        <v>264</v>
      </c>
      <c r="C514" s="394" t="s">
        <v>266</v>
      </c>
      <c r="D514" s="395">
        <v>18000</v>
      </c>
      <c r="E514" s="394" t="s">
        <v>1088</v>
      </c>
      <c r="F514" s="394">
        <v>498</v>
      </c>
      <c r="G514" s="396">
        <v>6</v>
      </c>
      <c r="H514" s="396">
        <v>5.5</v>
      </c>
      <c r="I514" s="396">
        <v>6.8</v>
      </c>
      <c r="J514" s="396">
        <v>7.8</v>
      </c>
      <c r="K514" s="396">
        <v>5.4</v>
      </c>
      <c r="L514" s="394" t="s">
        <v>1103</v>
      </c>
      <c r="M514" s="394"/>
      <c r="N514" s="389">
        <f>AVERAGE(H514,I514,K514)</f>
        <v>5.9000000000000012</v>
      </c>
      <c r="O514" s="397">
        <v>3515</v>
      </c>
      <c r="P514" s="398">
        <v>1740</v>
      </c>
      <c r="Q514" s="397">
        <v>1410</v>
      </c>
      <c r="R514" s="397">
        <v>2540</v>
      </c>
      <c r="S514" s="397">
        <v>1490</v>
      </c>
      <c r="T514" s="397">
        <v>1500</v>
      </c>
      <c r="U514" s="397">
        <v>235</v>
      </c>
      <c r="V514" s="397">
        <v>235</v>
      </c>
      <c r="W514" s="397">
        <v>326</v>
      </c>
      <c r="X514" s="397">
        <v>316</v>
      </c>
      <c r="Y514" s="399">
        <f>S514-('FMTC Main'!$E$22-U514)</f>
        <v>1725</v>
      </c>
      <c r="Z514" s="399">
        <f>T514-('FMTC Main'!$E$27-V514)</f>
        <v>1735</v>
      </c>
      <c r="AA514" s="400" t="str">
        <f>A514&amp;" "&amp;B514&amp;" "&amp;C514</f>
        <v>2005 Subaru Impreza WRX STi</v>
      </c>
    </row>
    <row r="515" spans="1:27" ht="12.95" customHeight="1">
      <c r="A515" s="394">
        <v>2008</v>
      </c>
      <c r="B515" s="394" t="s">
        <v>264</v>
      </c>
      <c r="C515" s="394" t="s">
        <v>266</v>
      </c>
      <c r="D515" s="395">
        <v>25000</v>
      </c>
      <c r="E515" s="394" t="s">
        <v>1088</v>
      </c>
      <c r="F515" s="394">
        <v>484</v>
      </c>
      <c r="G515" s="396">
        <v>5.3</v>
      </c>
      <c r="H515" s="396">
        <v>5.0999999999999996</v>
      </c>
      <c r="I515" s="396">
        <v>6.7</v>
      </c>
      <c r="J515" s="396">
        <v>7.8</v>
      </c>
      <c r="K515" s="396">
        <v>5.0999999999999996</v>
      </c>
      <c r="L515" s="394" t="s">
        <v>1103</v>
      </c>
      <c r="M515" s="394"/>
      <c r="N515" s="389">
        <f>AVERAGE(H515,I515,K515)</f>
        <v>5.6333333333333329</v>
      </c>
      <c r="O515" s="397">
        <v>3395</v>
      </c>
      <c r="P515" s="398">
        <v>1795</v>
      </c>
      <c r="Q515" s="397">
        <v>1475</v>
      </c>
      <c r="R515" s="397">
        <v>2625</v>
      </c>
      <c r="S515" s="397">
        <v>1530</v>
      </c>
      <c r="T515" s="397">
        <v>1540</v>
      </c>
      <c r="U515" s="397">
        <v>245</v>
      </c>
      <c r="V515" s="397">
        <v>245</v>
      </c>
      <c r="W515" s="397">
        <v>326</v>
      </c>
      <c r="X515" s="397">
        <v>316</v>
      </c>
      <c r="Y515" s="399">
        <f>S515-('FMTC Main'!$E$22-U515)</f>
        <v>1775</v>
      </c>
      <c r="Z515" s="399">
        <f>T515-('FMTC Main'!$E$27-V515)</f>
        <v>1785</v>
      </c>
      <c r="AA515" s="400" t="str">
        <f>A515&amp;" "&amp;B515&amp;" "&amp;C515</f>
        <v>2008 Subaru Impreza WRX STi</v>
      </c>
    </row>
    <row r="516" spans="1:27" ht="12.95" customHeight="1">
      <c r="A516" s="394">
        <v>2011</v>
      </c>
      <c r="B516" s="394" t="s">
        <v>264</v>
      </c>
      <c r="C516" s="394" t="s">
        <v>266</v>
      </c>
      <c r="D516" s="395">
        <v>16000</v>
      </c>
      <c r="E516" s="394" t="s">
        <v>1088</v>
      </c>
      <c r="F516" s="394">
        <v>441</v>
      </c>
      <c r="G516" s="396">
        <v>6.2</v>
      </c>
      <c r="H516" s="396">
        <v>4.7</v>
      </c>
      <c r="I516" s="396">
        <v>6.1</v>
      </c>
      <c r="J516" s="396">
        <v>7</v>
      </c>
      <c r="K516" s="396">
        <v>4.5999999999999996</v>
      </c>
      <c r="L516" s="394" t="s">
        <v>1103</v>
      </c>
      <c r="M516" s="394" t="s">
        <v>1090</v>
      </c>
      <c r="N516" s="389">
        <f>AVERAGE(H516,I516,K516)</f>
        <v>5.1333333333333337</v>
      </c>
      <c r="O516" s="397">
        <v>3384</v>
      </c>
      <c r="P516" s="398">
        <v>1796</v>
      </c>
      <c r="Q516" s="397">
        <v>1471</v>
      </c>
      <c r="R516" s="397">
        <v>2624</v>
      </c>
      <c r="S516" s="397">
        <v>1529</v>
      </c>
      <c r="T516" s="397">
        <v>1539</v>
      </c>
      <c r="U516" s="397">
        <v>245</v>
      </c>
      <c r="V516" s="397">
        <v>245</v>
      </c>
      <c r="W516" s="397">
        <v>326</v>
      </c>
      <c r="X516" s="397">
        <v>316</v>
      </c>
      <c r="Y516" s="399">
        <f>S516-('FMTC Main'!$E$22-U516)</f>
        <v>1774</v>
      </c>
      <c r="Z516" s="399">
        <f>T516-('FMTC Main'!$E$27-V516)</f>
        <v>1784</v>
      </c>
      <c r="AA516" s="400" t="str">
        <f>A516&amp;" "&amp;B516&amp;" "&amp;C516</f>
        <v>2011 Subaru Impreza WRX STi</v>
      </c>
    </row>
    <row r="517" spans="1:27" ht="12.95" customHeight="1">
      <c r="A517" s="394">
        <v>2005</v>
      </c>
      <c r="B517" s="394" t="s">
        <v>264</v>
      </c>
      <c r="C517" s="394" t="s">
        <v>975</v>
      </c>
      <c r="D517" s="395">
        <v>29000</v>
      </c>
      <c r="E517" s="394" t="s">
        <v>1088</v>
      </c>
      <c r="F517" s="394">
        <v>462</v>
      </c>
      <c r="G517" s="396">
        <v>6.4</v>
      </c>
      <c r="H517" s="396">
        <v>4.8</v>
      </c>
      <c r="I517" s="396">
        <v>6.3</v>
      </c>
      <c r="J517" s="396">
        <v>7.3</v>
      </c>
      <c r="K517" s="396">
        <v>4.7</v>
      </c>
      <c r="L517" s="394" t="s">
        <v>1103</v>
      </c>
      <c r="M517" s="394"/>
      <c r="N517" s="389">
        <f>AVERAGE(H517,I517,K517)</f>
        <v>5.2666666666666666</v>
      </c>
      <c r="O517" s="397">
        <v>3153</v>
      </c>
      <c r="P517" s="398">
        <v>1730</v>
      </c>
      <c r="Q517" s="397">
        <v>1425</v>
      </c>
      <c r="R517" s="397">
        <v>2670</v>
      </c>
      <c r="S517" s="397">
        <v>1495</v>
      </c>
      <c r="T517" s="397">
        <v>1490</v>
      </c>
      <c r="U517" s="397">
        <v>215</v>
      </c>
      <c r="V517" s="397">
        <v>215</v>
      </c>
      <c r="W517" s="397">
        <v>277</v>
      </c>
      <c r="X517" s="397">
        <v>274</v>
      </c>
      <c r="Y517" s="399">
        <f>S517-('FMTC Main'!$E$22-U517)</f>
        <v>1710</v>
      </c>
      <c r="Z517" s="399">
        <f>T517-('FMTC Main'!$E$27-V517)</f>
        <v>1705</v>
      </c>
      <c r="AA517" s="400" t="str">
        <f>A517&amp;" "&amp;B517&amp;" "&amp;C517</f>
        <v>2005 Subaru Legacy B4 2.0GT</v>
      </c>
    </row>
    <row r="518" spans="1:27" ht="12.95" customHeight="1">
      <c r="A518" s="394">
        <v>2010</v>
      </c>
      <c r="B518" s="394" t="s">
        <v>264</v>
      </c>
      <c r="C518" s="394" t="s">
        <v>718</v>
      </c>
      <c r="D518" s="395">
        <v>32000</v>
      </c>
      <c r="E518" s="394" t="s">
        <v>1088</v>
      </c>
      <c r="F518" s="394">
        <v>481</v>
      </c>
      <c r="G518" s="396">
        <v>6</v>
      </c>
      <c r="H518" s="396">
        <v>5.0999999999999996</v>
      </c>
      <c r="I518" s="396">
        <v>6.5</v>
      </c>
      <c r="J518" s="396">
        <v>7.4</v>
      </c>
      <c r="K518" s="396">
        <v>5.0999999999999996</v>
      </c>
      <c r="L518" s="394" t="s">
        <v>1103</v>
      </c>
      <c r="M518" s="394"/>
      <c r="N518" s="389">
        <f>AVERAGE(H518,I518,K518)</f>
        <v>5.5666666666666664</v>
      </c>
      <c r="O518" s="397">
        <v>3263</v>
      </c>
      <c r="P518" s="398">
        <v>1820</v>
      </c>
      <c r="Q518" s="397">
        <v>1505</v>
      </c>
      <c r="R518" s="397">
        <v>2750</v>
      </c>
      <c r="S518" s="397">
        <v>1565</v>
      </c>
      <c r="T518" s="397">
        <v>1570</v>
      </c>
      <c r="U518" s="397">
        <v>225</v>
      </c>
      <c r="V518" s="397">
        <v>225</v>
      </c>
      <c r="W518" s="397">
        <v>315</v>
      </c>
      <c r="X518" s="397">
        <v>290</v>
      </c>
      <c r="Y518" s="399">
        <f>S518-('FMTC Main'!$E$22-U518)</f>
        <v>1790</v>
      </c>
      <c r="Z518" s="399">
        <f>T518-('FMTC Main'!$E$27-V518)</f>
        <v>1795</v>
      </c>
      <c r="AA518" s="400" t="str">
        <f>A518&amp;" "&amp;B518&amp;" "&amp;C518</f>
        <v>2010 Subaru Legacy B4 2.5GT</v>
      </c>
    </row>
    <row r="519" spans="1:27" ht="12.95" customHeight="1">
      <c r="A519" s="394">
        <v>2002</v>
      </c>
      <c r="B519" s="394" t="s">
        <v>976</v>
      </c>
      <c r="C519" s="394" t="s">
        <v>977</v>
      </c>
      <c r="D519" s="395">
        <v>5000</v>
      </c>
      <c r="E519" s="394" t="s">
        <v>1099</v>
      </c>
      <c r="F519" s="394">
        <v>136</v>
      </c>
      <c r="G519" s="396">
        <v>3</v>
      </c>
      <c r="H519" s="396">
        <v>4.2</v>
      </c>
      <c r="I519" s="396">
        <v>3.7</v>
      </c>
      <c r="J519" s="396">
        <v>3.9</v>
      </c>
      <c r="K519" s="396">
        <v>4.2</v>
      </c>
      <c r="L519" s="394" t="s">
        <v>1103</v>
      </c>
      <c r="M519" s="394"/>
      <c r="N519" s="389">
        <f>AVERAGE(H519,I519,K519)</f>
        <v>4.0333333333333341</v>
      </c>
      <c r="O519" s="397">
        <v>2557</v>
      </c>
      <c r="P519" s="398">
        <v>1690</v>
      </c>
      <c r="Q519" s="397">
        <v>1545</v>
      </c>
      <c r="R519" s="397">
        <v>2480</v>
      </c>
      <c r="S519" s="397">
        <v>1450</v>
      </c>
      <c r="T519" s="397">
        <v>1445</v>
      </c>
      <c r="U519" s="397">
        <v>185</v>
      </c>
      <c r="V519" s="397">
        <v>185</v>
      </c>
      <c r="W519" s="397">
        <v>246</v>
      </c>
      <c r="X519" s="397">
        <v>200</v>
      </c>
      <c r="Y519" s="399">
        <f>S519-('FMTC Main'!$E$22-U519)</f>
        <v>1635</v>
      </c>
      <c r="Z519" s="399">
        <f>T519-('FMTC Main'!$E$27-V519)</f>
        <v>1630</v>
      </c>
      <c r="AA519" s="400" t="str">
        <f>A519&amp;" "&amp;B519&amp;" "&amp;C519</f>
        <v>2002 Suzuki Liana GLX</v>
      </c>
    </row>
    <row r="520" spans="1:27" ht="12.95" customHeight="1">
      <c r="A520" s="402">
        <v>2011</v>
      </c>
      <c r="B520" s="402" t="s">
        <v>976</v>
      </c>
      <c r="C520" s="402" t="s">
        <v>1142</v>
      </c>
      <c r="D520" s="403">
        <v>1000000</v>
      </c>
      <c r="E520" s="402" t="s">
        <v>1086</v>
      </c>
      <c r="F520" s="402">
        <v>878</v>
      </c>
      <c r="G520" s="404">
        <v>5.2</v>
      </c>
      <c r="H520" s="404">
        <v>7.4</v>
      </c>
      <c r="I520" s="404">
        <v>10</v>
      </c>
      <c r="J520" s="404">
        <v>10</v>
      </c>
      <c r="K520" s="404">
        <v>7.5</v>
      </c>
      <c r="L520" s="402" t="s">
        <v>1103</v>
      </c>
      <c r="M520" s="402" t="s">
        <v>1141</v>
      </c>
      <c r="N520" s="389">
        <f>AVERAGE(H520,I520,K520)</f>
        <v>8.2999999999999989</v>
      </c>
      <c r="O520" s="405">
        <v>2520</v>
      </c>
      <c r="P520" s="405">
        <v>1960</v>
      </c>
      <c r="Q520" s="405">
        <v>1580</v>
      </c>
      <c r="R520" s="405">
        <v>2818</v>
      </c>
      <c r="S520" s="405">
        <v>1620</v>
      </c>
      <c r="T520" s="405">
        <v>1610</v>
      </c>
      <c r="U520" s="405">
        <v>295</v>
      </c>
      <c r="V520" s="405">
        <v>295</v>
      </c>
      <c r="W520" s="405">
        <v>370</v>
      </c>
      <c r="X520" s="405">
        <v>350</v>
      </c>
      <c r="Y520" s="406">
        <f>S520-('FMTC Main'!$E$22-U520)</f>
        <v>1915</v>
      </c>
      <c r="Z520" s="406">
        <f>T520-('FMTC Main'!$E$27-V520)</f>
        <v>1905</v>
      </c>
      <c r="AA520" s="407" t="str">
        <f>A520&amp;" "&amp;B520&amp;" "&amp;C520</f>
        <v>2011 Suzuki SX4</v>
      </c>
    </row>
    <row r="521" spans="1:27" ht="12.95" customHeight="1">
      <c r="A521" s="394">
        <v>2011</v>
      </c>
      <c r="B521" s="394" t="s">
        <v>976</v>
      </c>
      <c r="C521" s="394" t="s">
        <v>978</v>
      </c>
      <c r="D521" s="395">
        <v>14000</v>
      </c>
      <c r="E521" s="394" t="s">
        <v>1083</v>
      </c>
      <c r="F521" s="394">
        <v>209</v>
      </c>
      <c r="G521" s="396">
        <v>3</v>
      </c>
      <c r="H521" s="396">
        <v>4.5</v>
      </c>
      <c r="I521" s="396">
        <v>4.8</v>
      </c>
      <c r="J521" s="396">
        <v>5.2</v>
      </c>
      <c r="K521" s="396">
        <v>4.5</v>
      </c>
      <c r="L521" s="394" t="s">
        <v>1103</v>
      </c>
      <c r="M521" s="394"/>
      <c r="N521" s="389">
        <f>AVERAGE(H521,I521,K521)</f>
        <v>4.6000000000000005</v>
      </c>
      <c r="O521" s="397">
        <v>2734</v>
      </c>
      <c r="P521" s="398">
        <v>1755</v>
      </c>
      <c r="Q521" s="397">
        <v>1570</v>
      </c>
      <c r="R521" s="397">
        <v>2499</v>
      </c>
      <c r="S521" s="397">
        <v>1501</v>
      </c>
      <c r="T521" s="397">
        <v>1496</v>
      </c>
      <c r="U521" s="397">
        <v>205</v>
      </c>
      <c r="V521" s="397">
        <v>205</v>
      </c>
      <c r="W521" s="397">
        <v>280</v>
      </c>
      <c r="X521" s="397">
        <v>278</v>
      </c>
      <c r="Y521" s="399">
        <f>S521-('FMTC Main'!$E$22-U521)</f>
        <v>1706</v>
      </c>
      <c r="Z521" s="399">
        <f>T521-('FMTC Main'!$E$27-V521)</f>
        <v>1701</v>
      </c>
      <c r="AA521" s="400" t="str">
        <f>A521&amp;" "&amp;B521&amp;" "&amp;C521</f>
        <v>2011 Suzuki SX4 Sportback</v>
      </c>
    </row>
    <row r="522" spans="1:27" ht="12.95" customHeight="1">
      <c r="A522" s="394">
        <v>2011</v>
      </c>
      <c r="B522" s="394" t="s">
        <v>979</v>
      </c>
      <c r="C522" s="394" t="s">
        <v>980</v>
      </c>
      <c r="D522" s="395">
        <v>128000</v>
      </c>
      <c r="E522" s="394" t="s">
        <v>349</v>
      </c>
      <c r="F522" s="394">
        <v>505</v>
      </c>
      <c r="G522" s="396">
        <v>4</v>
      </c>
      <c r="H522" s="396">
        <v>5.6</v>
      </c>
      <c r="I522" s="396">
        <v>7</v>
      </c>
      <c r="J522" s="396">
        <v>6.4</v>
      </c>
      <c r="K522" s="396">
        <v>5.5</v>
      </c>
      <c r="L522" s="394" t="s">
        <v>1075</v>
      </c>
      <c r="M522" s="394" t="s">
        <v>1109</v>
      </c>
      <c r="N522" s="389">
        <f>AVERAGE(H522,I522,K522)</f>
        <v>6.0333333333333341</v>
      </c>
      <c r="O522" s="397">
        <v>2723</v>
      </c>
      <c r="P522" s="398">
        <v>1722</v>
      </c>
      <c r="Q522" s="397">
        <v>1127</v>
      </c>
      <c r="R522" s="397">
        <v>2352</v>
      </c>
      <c r="S522" s="397">
        <v>1466</v>
      </c>
      <c r="T522" s="397">
        <v>1499</v>
      </c>
      <c r="U522" s="397">
        <v>195</v>
      </c>
      <c r="V522" s="397">
        <v>225</v>
      </c>
      <c r="W522" s="397">
        <v>300</v>
      </c>
      <c r="X522" s="397">
        <v>310</v>
      </c>
      <c r="Y522" s="399">
        <f>S522-('FMTC Main'!$E$22-U522)</f>
        <v>1661</v>
      </c>
      <c r="Z522" s="399">
        <f>T522-('FMTC Main'!$E$27-V522)</f>
        <v>1724</v>
      </c>
      <c r="AA522" s="400" t="str">
        <f>A522&amp;" "&amp;B522&amp;" "&amp;C522</f>
        <v>2011 Tesla Roadster Sport</v>
      </c>
    </row>
    <row r="523" spans="1:27" ht="12.95" customHeight="1">
      <c r="A523" s="394">
        <v>1999</v>
      </c>
      <c r="B523" s="394" t="s">
        <v>267</v>
      </c>
      <c r="C523" s="394" t="s">
        <v>983</v>
      </c>
      <c r="D523" s="395">
        <v>2200000</v>
      </c>
      <c r="E523" s="394" t="s">
        <v>1086</v>
      </c>
      <c r="F523" s="394">
        <v>959</v>
      </c>
      <c r="G523" s="396">
        <v>8.9</v>
      </c>
      <c r="H523" s="396">
        <v>9.6</v>
      </c>
      <c r="I523" s="396">
        <v>9.6</v>
      </c>
      <c r="J523" s="396">
        <v>8.4</v>
      </c>
      <c r="K523" s="396">
        <v>9.6</v>
      </c>
      <c r="L523" s="394" t="s">
        <v>1103</v>
      </c>
      <c r="M523" s="394"/>
      <c r="N523" s="389">
        <f>AVERAGE(H523,I523,K523)</f>
        <v>9.6</v>
      </c>
      <c r="O523" s="397">
        <v>1991</v>
      </c>
      <c r="P523" s="398">
        <v>2000</v>
      </c>
      <c r="Q523" s="397">
        <v>1125</v>
      </c>
      <c r="R523" s="397">
        <v>2850</v>
      </c>
      <c r="S523" s="397">
        <v>1600</v>
      </c>
      <c r="T523" s="397">
        <v>1644</v>
      </c>
      <c r="U523" s="397">
        <v>290</v>
      </c>
      <c r="V523" s="397">
        <v>310</v>
      </c>
      <c r="W523" s="397">
        <v>380</v>
      </c>
      <c r="X523" s="397">
        <v>355</v>
      </c>
      <c r="Y523" s="399">
        <f>S523-('FMTC Main'!$E$22-U523)</f>
        <v>1890</v>
      </c>
      <c r="Z523" s="399">
        <f>T523-('FMTC Main'!$E$27-V523)</f>
        <v>1954</v>
      </c>
      <c r="AA523" s="400" t="str">
        <f>A523&amp;" "&amp;B523&amp;" "&amp;C523</f>
        <v>1999 Toyota #3 Toyota Motorsports GT-ONE TS-020</v>
      </c>
    </row>
    <row r="524" spans="1:27" ht="12.95" customHeight="1">
      <c r="A524" s="394">
        <v>2005</v>
      </c>
      <c r="B524" s="394" t="s">
        <v>267</v>
      </c>
      <c r="C524" s="394" t="s">
        <v>984</v>
      </c>
      <c r="D524" s="395">
        <v>1500000</v>
      </c>
      <c r="E524" s="394" t="s">
        <v>1091</v>
      </c>
      <c r="F524" s="394">
        <v>855</v>
      </c>
      <c r="G524" s="396">
        <v>7.1</v>
      </c>
      <c r="H524" s="396">
        <v>9.1</v>
      </c>
      <c r="I524" s="396">
        <v>9.1</v>
      </c>
      <c r="J524" s="396">
        <v>8</v>
      </c>
      <c r="K524" s="396">
        <v>9.1</v>
      </c>
      <c r="L524" s="394" t="s">
        <v>1103</v>
      </c>
      <c r="M524" s="394"/>
      <c r="N524" s="389">
        <f>AVERAGE(H524,I524,K524)</f>
        <v>9.1</v>
      </c>
      <c r="O524" s="397">
        <v>2425</v>
      </c>
      <c r="P524" s="398">
        <v>1910</v>
      </c>
      <c r="Q524" s="397">
        <v>1200</v>
      </c>
      <c r="R524" s="397">
        <v>2720</v>
      </c>
      <c r="S524" s="397">
        <v>1560</v>
      </c>
      <c r="T524" s="397">
        <v>1535</v>
      </c>
      <c r="U524" s="397">
        <v>330</v>
      </c>
      <c r="V524" s="397">
        <v>330</v>
      </c>
      <c r="W524" s="397">
        <v>380</v>
      </c>
      <c r="X524" s="397">
        <v>355</v>
      </c>
      <c r="Y524" s="399">
        <f>S524-('FMTC Main'!$E$22-U524)</f>
        <v>1890</v>
      </c>
      <c r="Z524" s="399">
        <f>T524-('FMTC Main'!$E$27-V524)</f>
        <v>1865</v>
      </c>
      <c r="AA524" s="400" t="str">
        <f>A524&amp;" "&amp;B524&amp;" "&amp;C524</f>
        <v>2005 Toyota #6 Exxon Superflo Supra</v>
      </c>
    </row>
    <row r="525" spans="1:27" ht="12.95" customHeight="1">
      <c r="A525" s="394">
        <v>1969</v>
      </c>
      <c r="B525" s="394" t="s">
        <v>267</v>
      </c>
      <c r="C525" s="394" t="s">
        <v>300</v>
      </c>
      <c r="D525" s="395">
        <v>80000</v>
      </c>
      <c r="E525" s="394" t="s">
        <v>1099</v>
      </c>
      <c r="F525" s="394">
        <v>191</v>
      </c>
      <c r="G525" s="396">
        <v>3.9</v>
      </c>
      <c r="H525" s="396">
        <v>4.0999999999999996</v>
      </c>
      <c r="I525" s="396">
        <v>4.5999999999999996</v>
      </c>
      <c r="J525" s="396">
        <v>5</v>
      </c>
      <c r="K525" s="396">
        <v>4</v>
      </c>
      <c r="L525" s="394" t="s">
        <v>1103</v>
      </c>
      <c r="M525" s="394"/>
      <c r="N525" s="389">
        <f>AVERAGE(H525,I525,K525)</f>
        <v>4.2333333333333334</v>
      </c>
      <c r="O525" s="397">
        <v>2550</v>
      </c>
      <c r="P525" s="398">
        <v>1600</v>
      </c>
      <c r="Q525" s="397">
        <v>1161</v>
      </c>
      <c r="R525" s="397">
        <v>2329</v>
      </c>
      <c r="S525" s="397">
        <v>1300</v>
      </c>
      <c r="T525" s="397">
        <v>1300</v>
      </c>
      <c r="U525" s="397">
        <v>165</v>
      </c>
      <c r="V525" s="397">
        <v>165</v>
      </c>
      <c r="W525" s="397">
        <v>280</v>
      </c>
      <c r="X525" s="397">
        <v>267</v>
      </c>
      <c r="Y525" s="399">
        <f>S525-('FMTC Main'!$E$22-U525)</f>
        <v>1465</v>
      </c>
      <c r="Z525" s="399">
        <f>T525-('FMTC Main'!$E$27-V525)</f>
        <v>1465</v>
      </c>
      <c r="AA525" s="400" t="str">
        <f>A525&amp;" "&amp;B525&amp;" "&amp;C525</f>
        <v>1969 Toyota 2000GT</v>
      </c>
    </row>
    <row r="526" spans="1:27" ht="12.95" customHeight="1">
      <c r="A526" s="394">
        <v>2004</v>
      </c>
      <c r="B526" s="394" t="s">
        <v>267</v>
      </c>
      <c r="C526" s="394" t="s">
        <v>268</v>
      </c>
      <c r="D526" s="395">
        <v>10000</v>
      </c>
      <c r="E526" s="394" t="s">
        <v>1085</v>
      </c>
      <c r="F526" s="394">
        <v>349</v>
      </c>
      <c r="G526" s="396">
        <v>5.4</v>
      </c>
      <c r="H526" s="396">
        <v>4.8</v>
      </c>
      <c r="I526" s="396">
        <v>5.6</v>
      </c>
      <c r="J526" s="396">
        <v>6</v>
      </c>
      <c r="K526" s="396">
        <v>4.7</v>
      </c>
      <c r="L526" s="394" t="s">
        <v>1103</v>
      </c>
      <c r="M526" s="394"/>
      <c r="N526" s="389">
        <f>AVERAGE(H526,I526,K526)</f>
        <v>5.0333333333333323</v>
      </c>
      <c r="O526" s="397">
        <v>2954</v>
      </c>
      <c r="P526" s="398">
        <v>1720</v>
      </c>
      <c r="Q526" s="397">
        <v>1420</v>
      </c>
      <c r="R526" s="397">
        <v>2670</v>
      </c>
      <c r="S526" s="397">
        <v>1495</v>
      </c>
      <c r="T526" s="397">
        <v>1485</v>
      </c>
      <c r="U526" s="397">
        <v>215</v>
      </c>
      <c r="V526" s="397">
        <v>215</v>
      </c>
      <c r="W526" s="397">
        <v>296</v>
      </c>
      <c r="X526" s="397">
        <v>307</v>
      </c>
      <c r="Y526" s="399">
        <f>S526-('FMTC Main'!$E$22-U526)</f>
        <v>1710</v>
      </c>
      <c r="Z526" s="399">
        <f>T526-('FMTC Main'!$E$27-V526)</f>
        <v>1700</v>
      </c>
      <c r="AA526" s="400" t="str">
        <f>A526&amp;" "&amp;B526&amp;" "&amp;C526</f>
        <v>2004 Toyota Altezza RS200</v>
      </c>
    </row>
    <row r="527" spans="1:27" ht="12.95" customHeight="1">
      <c r="A527" s="394">
        <v>2011</v>
      </c>
      <c r="B527" s="394" t="s">
        <v>267</v>
      </c>
      <c r="C527" s="394" t="s">
        <v>985</v>
      </c>
      <c r="D527" s="395">
        <v>10000</v>
      </c>
      <c r="E527" s="394" t="s">
        <v>1099</v>
      </c>
      <c r="F527" s="394">
        <v>100</v>
      </c>
      <c r="G527" s="396">
        <v>3</v>
      </c>
      <c r="H527" s="396">
        <v>4.3</v>
      </c>
      <c r="I527" s="396">
        <v>3.1</v>
      </c>
      <c r="J527" s="396">
        <v>3.4</v>
      </c>
      <c r="K527" s="396">
        <v>4.3</v>
      </c>
      <c r="L527" s="394" t="s">
        <v>1103</v>
      </c>
      <c r="M527" s="394"/>
      <c r="N527" s="389">
        <f>AVERAGE(H527,I527,K527)</f>
        <v>3.9</v>
      </c>
      <c r="O527" s="397">
        <v>1896</v>
      </c>
      <c r="P527" s="398">
        <v>1615</v>
      </c>
      <c r="Q527" s="397">
        <v>1465</v>
      </c>
      <c r="R527" s="397">
        <v>2340</v>
      </c>
      <c r="S527" s="397">
        <v>1415</v>
      </c>
      <c r="T527" s="397">
        <v>1405</v>
      </c>
      <c r="U527" s="397">
        <v>155</v>
      </c>
      <c r="V527" s="397">
        <v>155</v>
      </c>
      <c r="W527" s="397">
        <v>247</v>
      </c>
      <c r="X527" s="397">
        <v>200</v>
      </c>
      <c r="Y527" s="399">
        <f>S527-('FMTC Main'!$E$22-U527)</f>
        <v>1570</v>
      </c>
      <c r="Z527" s="399">
        <f>T527-('FMTC Main'!$E$27-V527)</f>
        <v>1560</v>
      </c>
      <c r="AA527" s="400" t="str">
        <f>A527&amp;" "&amp;B527&amp;" "&amp;C527</f>
        <v>2011 Toyota Aygo</v>
      </c>
    </row>
    <row r="528" spans="1:27" ht="12.95" customHeight="1">
      <c r="A528" s="394">
        <v>1994</v>
      </c>
      <c r="B528" s="394" t="s">
        <v>267</v>
      </c>
      <c r="C528" s="394" t="s">
        <v>270</v>
      </c>
      <c r="D528" s="395">
        <v>9000</v>
      </c>
      <c r="E528" s="394" t="s">
        <v>1087</v>
      </c>
      <c r="F528" s="394">
        <v>380</v>
      </c>
      <c r="G528" s="396">
        <v>5.4</v>
      </c>
      <c r="H528" s="396">
        <v>4.7</v>
      </c>
      <c r="I528" s="396">
        <v>5.6</v>
      </c>
      <c r="J528" s="396">
        <v>6.3</v>
      </c>
      <c r="K528" s="396">
        <v>4.5</v>
      </c>
      <c r="L528" s="394" t="s">
        <v>1103</v>
      </c>
      <c r="M528" s="394"/>
      <c r="N528" s="389">
        <f>AVERAGE(H528,I528,K528)</f>
        <v>4.9333333333333336</v>
      </c>
      <c r="O528" s="397">
        <v>3175</v>
      </c>
      <c r="P528" s="398">
        <v>1750</v>
      </c>
      <c r="Q528" s="397">
        <v>1305</v>
      </c>
      <c r="R528" s="397">
        <v>2535</v>
      </c>
      <c r="S528" s="397">
        <v>1510</v>
      </c>
      <c r="T528" s="397">
        <v>1485</v>
      </c>
      <c r="U528" s="397">
        <v>215</v>
      </c>
      <c r="V528" s="397">
        <v>215</v>
      </c>
      <c r="W528" s="397">
        <v>275</v>
      </c>
      <c r="X528" s="397">
        <v>269</v>
      </c>
      <c r="Y528" s="399">
        <f>S528-('FMTC Main'!$E$22-U528)</f>
        <v>1725</v>
      </c>
      <c r="Z528" s="399">
        <f>T528-('FMTC Main'!$E$27-V528)</f>
        <v>1700</v>
      </c>
      <c r="AA528" s="400" t="str">
        <f>A528&amp;" "&amp;B528&amp;" "&amp;C528</f>
        <v>1994 Toyota Celica GT-Four ST205</v>
      </c>
    </row>
    <row r="529" spans="1:27" ht="12.95" customHeight="1">
      <c r="A529" s="394">
        <v>2003</v>
      </c>
      <c r="B529" s="394" t="s">
        <v>267</v>
      </c>
      <c r="C529" s="394" t="s">
        <v>269</v>
      </c>
      <c r="D529" s="395">
        <v>8000</v>
      </c>
      <c r="E529" s="394" t="s">
        <v>1087</v>
      </c>
      <c r="F529" s="394">
        <v>379</v>
      </c>
      <c r="G529" s="396">
        <v>5.2</v>
      </c>
      <c r="H529" s="396">
        <v>4.8</v>
      </c>
      <c r="I529" s="396">
        <v>5.9</v>
      </c>
      <c r="J529" s="396">
        <v>6.2</v>
      </c>
      <c r="K529" s="396">
        <v>4.5999999999999996</v>
      </c>
      <c r="L529" s="394" t="s">
        <v>1103</v>
      </c>
      <c r="M529" s="394"/>
      <c r="N529" s="389">
        <f>AVERAGE(H529,I529,K529)</f>
        <v>5.0999999999999996</v>
      </c>
      <c r="O529" s="397">
        <v>2560</v>
      </c>
      <c r="P529" s="398">
        <v>1735</v>
      </c>
      <c r="Q529" s="397">
        <v>1315</v>
      </c>
      <c r="R529" s="397">
        <v>2590</v>
      </c>
      <c r="S529" s="397">
        <v>1490</v>
      </c>
      <c r="T529" s="397">
        <v>1480</v>
      </c>
      <c r="U529" s="397">
        <v>205</v>
      </c>
      <c r="V529" s="397">
        <v>205</v>
      </c>
      <c r="W529" s="397">
        <v>275</v>
      </c>
      <c r="X529" s="397">
        <v>269</v>
      </c>
      <c r="Y529" s="399">
        <f>S529-('FMTC Main'!$E$22-U529)</f>
        <v>1695</v>
      </c>
      <c r="Z529" s="399">
        <f>T529-('FMTC Main'!$E$27-V529)</f>
        <v>1685</v>
      </c>
      <c r="AA529" s="400" t="str">
        <f>A529&amp;" "&amp;B529&amp;" "&amp;C529</f>
        <v>2003 Toyota Celica SS-I</v>
      </c>
    </row>
    <row r="530" spans="1:27" ht="12.95" customHeight="1">
      <c r="A530" s="394">
        <v>1984</v>
      </c>
      <c r="B530" s="394" t="s">
        <v>267</v>
      </c>
      <c r="C530" s="394" t="s">
        <v>271</v>
      </c>
      <c r="D530" s="395">
        <v>6000</v>
      </c>
      <c r="E530" s="394" t="s">
        <v>1083</v>
      </c>
      <c r="F530" s="394">
        <v>251</v>
      </c>
      <c r="G530" s="396">
        <v>3.7</v>
      </c>
      <c r="H530" s="396">
        <v>4.8</v>
      </c>
      <c r="I530" s="396">
        <v>4.9000000000000004</v>
      </c>
      <c r="J530" s="396">
        <v>5.4</v>
      </c>
      <c r="K530" s="396">
        <v>4.7</v>
      </c>
      <c r="L530" s="394" t="s">
        <v>1103</v>
      </c>
      <c r="M530" s="394"/>
      <c r="N530" s="389">
        <f>AVERAGE(H530,I530,K530)</f>
        <v>4.8</v>
      </c>
      <c r="O530" s="397">
        <v>3045</v>
      </c>
      <c r="P530" s="398">
        <v>1680</v>
      </c>
      <c r="Q530" s="397">
        <v>1310</v>
      </c>
      <c r="R530" s="397">
        <v>2610</v>
      </c>
      <c r="S530" s="397">
        <v>1420</v>
      </c>
      <c r="T530" s="397">
        <v>1380</v>
      </c>
      <c r="U530" s="397">
        <v>225</v>
      </c>
      <c r="V530" s="397">
        <v>225</v>
      </c>
      <c r="W530" s="397">
        <v>258</v>
      </c>
      <c r="X530" s="397">
        <v>229</v>
      </c>
      <c r="Y530" s="399">
        <f>S530-('FMTC Main'!$E$22-U530)</f>
        <v>1645</v>
      </c>
      <c r="Z530" s="399">
        <f>T530-('FMTC Main'!$E$27-V530)</f>
        <v>1605</v>
      </c>
      <c r="AA530" s="400" t="str">
        <f>A530&amp;" "&amp;B530&amp;" "&amp;C530</f>
        <v>1984 Toyota Celica Supra</v>
      </c>
    </row>
    <row r="531" spans="1:27" ht="12.95" customHeight="1">
      <c r="A531" s="394">
        <v>1995</v>
      </c>
      <c r="B531" s="394" t="s">
        <v>267</v>
      </c>
      <c r="C531" s="394" t="s">
        <v>301</v>
      </c>
      <c r="D531" s="395">
        <v>8000</v>
      </c>
      <c r="E531" s="394" t="s">
        <v>1085</v>
      </c>
      <c r="F531" s="394">
        <v>293</v>
      </c>
      <c r="G531" s="396">
        <v>3.7</v>
      </c>
      <c r="H531" s="396">
        <v>5</v>
      </c>
      <c r="I531" s="396">
        <v>5.4</v>
      </c>
      <c r="J531" s="396">
        <v>5.9</v>
      </c>
      <c r="K531" s="396">
        <v>4.9000000000000004</v>
      </c>
      <c r="L531" s="394" t="s">
        <v>1103</v>
      </c>
      <c r="M531" s="394"/>
      <c r="N531" s="389">
        <f>AVERAGE(H531,I531,K531)</f>
        <v>5.1000000000000005</v>
      </c>
      <c r="O531" s="397">
        <v>2657</v>
      </c>
      <c r="P531" s="398">
        <v>1700</v>
      </c>
      <c r="Q531" s="397">
        <v>1235</v>
      </c>
      <c r="R531" s="397">
        <v>2400</v>
      </c>
      <c r="S531" s="397">
        <v>1470</v>
      </c>
      <c r="T531" s="397">
        <v>1450</v>
      </c>
      <c r="U531" s="397">
        <v>195</v>
      </c>
      <c r="V531" s="397">
        <v>225</v>
      </c>
      <c r="W531" s="397">
        <v>275</v>
      </c>
      <c r="X531" s="397">
        <v>281</v>
      </c>
      <c r="Y531" s="399">
        <f>S531-('FMTC Main'!$E$22-U531)</f>
        <v>1665</v>
      </c>
      <c r="Z531" s="399">
        <f>T531-('FMTC Main'!$E$27-V531)</f>
        <v>1675</v>
      </c>
      <c r="AA531" s="400" t="str">
        <f>A531&amp;" "&amp;B531&amp;" "&amp;C531</f>
        <v>1995 Toyota MR2 GT</v>
      </c>
    </row>
    <row r="532" spans="1:27" ht="12.95" customHeight="1">
      <c r="A532" s="394">
        <v>1989</v>
      </c>
      <c r="B532" s="394" t="s">
        <v>267</v>
      </c>
      <c r="C532" s="394" t="s">
        <v>981</v>
      </c>
      <c r="D532" s="395">
        <v>7000</v>
      </c>
      <c r="E532" s="394" t="s">
        <v>1087</v>
      </c>
      <c r="F532" s="394">
        <v>385</v>
      </c>
      <c r="G532" s="396">
        <v>5.7</v>
      </c>
      <c r="H532" s="396">
        <v>4.5999999999999996</v>
      </c>
      <c r="I532" s="396">
        <v>6.4</v>
      </c>
      <c r="J532" s="396">
        <v>7.2</v>
      </c>
      <c r="K532" s="396">
        <v>4.4000000000000004</v>
      </c>
      <c r="L532" s="394" t="s">
        <v>1103</v>
      </c>
      <c r="M532" s="394"/>
      <c r="N532" s="389">
        <f>AVERAGE(H532,I532,K532)</f>
        <v>5.1333333333333337</v>
      </c>
      <c r="O532" s="397">
        <v>2620</v>
      </c>
      <c r="P532" s="398">
        <v>1665</v>
      </c>
      <c r="Q532" s="397">
        <v>1250</v>
      </c>
      <c r="R532" s="397">
        <v>2320</v>
      </c>
      <c r="S532" s="397">
        <v>1440</v>
      </c>
      <c r="T532" s="397">
        <v>1440</v>
      </c>
      <c r="U532" s="397">
        <v>185</v>
      </c>
      <c r="V532" s="397">
        <v>185</v>
      </c>
      <c r="W532" s="397">
        <v>258</v>
      </c>
      <c r="X532" s="397">
        <v>263</v>
      </c>
      <c r="Y532" s="399">
        <f>S532-('FMTC Main'!$E$22-U532)</f>
        <v>1625</v>
      </c>
      <c r="Z532" s="399">
        <f>T532-('FMTC Main'!$E$27-V532)</f>
        <v>1625</v>
      </c>
      <c r="AA532" s="400" t="str">
        <f>A532&amp;" "&amp;B532&amp;" "&amp;C532</f>
        <v>1989 Toyota MR2 Supercharged</v>
      </c>
    </row>
    <row r="533" spans="1:27" ht="12.95" customHeight="1">
      <c r="A533" s="394">
        <v>2002</v>
      </c>
      <c r="B533" s="394" t="s">
        <v>267</v>
      </c>
      <c r="C533" s="394" t="s">
        <v>272</v>
      </c>
      <c r="D533" s="395">
        <v>6000</v>
      </c>
      <c r="E533" s="394" t="s">
        <v>1083</v>
      </c>
      <c r="F533" s="394">
        <v>272</v>
      </c>
      <c r="G533" s="396">
        <v>4.2</v>
      </c>
      <c r="H533" s="396">
        <v>4.5999999999999996</v>
      </c>
      <c r="I533" s="396">
        <v>5.3</v>
      </c>
      <c r="J533" s="396">
        <v>6</v>
      </c>
      <c r="K533" s="396">
        <v>4.5</v>
      </c>
      <c r="L533" s="394" t="s">
        <v>1103</v>
      </c>
      <c r="M533" s="394"/>
      <c r="N533" s="389">
        <f>AVERAGE(H533,I533,K533)</f>
        <v>4.8</v>
      </c>
      <c r="O533" s="397">
        <v>2195</v>
      </c>
      <c r="P533" s="398">
        <v>1695</v>
      </c>
      <c r="Q533" s="397">
        <v>1235</v>
      </c>
      <c r="R533" s="397">
        <v>2450</v>
      </c>
      <c r="S533" s="397">
        <v>1475</v>
      </c>
      <c r="T533" s="397">
        <v>1460</v>
      </c>
      <c r="U533" s="397">
        <v>185</v>
      </c>
      <c r="V533" s="397">
        <v>205</v>
      </c>
      <c r="W533" s="397">
        <v>254</v>
      </c>
      <c r="X533" s="397">
        <v>263</v>
      </c>
      <c r="Y533" s="399">
        <f>S533-('FMTC Main'!$E$22-U533)</f>
        <v>1660</v>
      </c>
      <c r="Z533" s="399">
        <f>T533-('FMTC Main'!$E$27-V533)</f>
        <v>1665</v>
      </c>
      <c r="AA533" s="400" t="str">
        <f>A533&amp;" "&amp;B533&amp;" "&amp;C533</f>
        <v>2002 Toyota MR-S</v>
      </c>
    </row>
    <row r="534" spans="1:27" ht="12.95" customHeight="1">
      <c r="A534" s="394">
        <v>2011</v>
      </c>
      <c r="B534" s="394" t="s">
        <v>267</v>
      </c>
      <c r="C534" s="394" t="s">
        <v>986</v>
      </c>
      <c r="D534" s="395">
        <v>24000</v>
      </c>
      <c r="E534" s="394" t="s">
        <v>1099</v>
      </c>
      <c r="F534" s="394">
        <v>197</v>
      </c>
      <c r="G534" s="396">
        <v>3.7</v>
      </c>
      <c r="H534" s="396">
        <v>4.5</v>
      </c>
      <c r="I534" s="396">
        <v>4.2</v>
      </c>
      <c r="J534" s="396">
        <v>3</v>
      </c>
      <c r="K534" s="396">
        <v>4.3</v>
      </c>
      <c r="L534" s="394" t="s">
        <v>1103</v>
      </c>
      <c r="M534" s="394"/>
      <c r="N534" s="389">
        <f>AVERAGE(H534,I534,K534)</f>
        <v>4.333333333333333</v>
      </c>
      <c r="O534" s="397">
        <v>3024</v>
      </c>
      <c r="P534" s="398">
        <v>1745</v>
      </c>
      <c r="Q534" s="397">
        <v>1480</v>
      </c>
      <c r="R534" s="397">
        <v>2700</v>
      </c>
      <c r="S534" s="397">
        <v>1525</v>
      </c>
      <c r="T534" s="397">
        <v>1520</v>
      </c>
      <c r="U534" s="397">
        <v>215</v>
      </c>
      <c r="V534" s="397">
        <v>215</v>
      </c>
      <c r="W534" s="397">
        <v>254</v>
      </c>
      <c r="X534" s="397">
        <v>259</v>
      </c>
      <c r="Y534" s="399">
        <f>S534-('FMTC Main'!$E$22-U534)</f>
        <v>1740</v>
      </c>
      <c r="Z534" s="399">
        <f>T534-('FMTC Main'!$E$27-V534)</f>
        <v>1735</v>
      </c>
      <c r="AA534" s="400" t="str">
        <f>A534&amp;" "&amp;B534&amp;" "&amp;C534</f>
        <v>2011 Toyota Prius</v>
      </c>
    </row>
    <row r="535" spans="1:27" ht="12.95" customHeight="1">
      <c r="A535" s="394">
        <v>2002</v>
      </c>
      <c r="B535" s="394" t="s">
        <v>267</v>
      </c>
      <c r="C535" s="394" t="s">
        <v>302</v>
      </c>
      <c r="D535" s="395">
        <v>18000</v>
      </c>
      <c r="E535" s="394" t="s">
        <v>1087</v>
      </c>
      <c r="F535" s="394">
        <v>375</v>
      </c>
      <c r="G535" s="396">
        <v>6.2</v>
      </c>
      <c r="H535" s="396">
        <v>4.7</v>
      </c>
      <c r="I535" s="396">
        <v>6.1</v>
      </c>
      <c r="J535" s="396">
        <v>6.5</v>
      </c>
      <c r="K535" s="396">
        <v>4.5999999999999996</v>
      </c>
      <c r="L535" s="394" t="s">
        <v>1103</v>
      </c>
      <c r="M535" s="394"/>
      <c r="N535" s="389">
        <f>AVERAGE(H535,I535,K535)</f>
        <v>5.1333333333333337</v>
      </c>
      <c r="O535" s="397">
        <v>3814</v>
      </c>
      <c r="P535" s="398">
        <v>1825</v>
      </c>
      <c r="Q535" s="397">
        <v>1355</v>
      </c>
      <c r="R535" s="397">
        <v>2620</v>
      </c>
      <c r="S535" s="397">
        <v>1550</v>
      </c>
      <c r="T535" s="397">
        <v>1530</v>
      </c>
      <c r="U535" s="397">
        <v>245</v>
      </c>
      <c r="V535" s="397">
        <v>245</v>
      </c>
      <c r="W535" s="397">
        <v>296</v>
      </c>
      <c r="X535" s="397">
        <v>307</v>
      </c>
      <c r="Y535" s="399">
        <f>S535-('FMTC Main'!$E$22-U535)</f>
        <v>1795</v>
      </c>
      <c r="Z535" s="399">
        <f>T535-('FMTC Main'!$E$27-V535)</f>
        <v>1775</v>
      </c>
      <c r="AA535" s="400" t="str">
        <f>A535&amp;" "&amp;B535&amp;" "&amp;C535</f>
        <v>2002 Toyota Soarer 430SCV</v>
      </c>
    </row>
    <row r="536" spans="1:27" ht="12.95" customHeight="1">
      <c r="A536" s="394">
        <v>1985</v>
      </c>
      <c r="B536" s="394" t="s">
        <v>267</v>
      </c>
      <c r="C536" s="394" t="s">
        <v>273</v>
      </c>
      <c r="D536" s="395">
        <v>6000</v>
      </c>
      <c r="E536" s="394" t="s">
        <v>1085</v>
      </c>
      <c r="F536" s="394">
        <v>277</v>
      </c>
      <c r="G536" s="396">
        <v>3.5</v>
      </c>
      <c r="H536" s="396">
        <v>4.4000000000000004</v>
      </c>
      <c r="I536" s="396">
        <v>5.9</v>
      </c>
      <c r="J536" s="396">
        <v>6.4</v>
      </c>
      <c r="K536" s="396">
        <v>4.4000000000000004</v>
      </c>
      <c r="L536" s="394" t="s">
        <v>1103</v>
      </c>
      <c r="M536" s="394"/>
      <c r="N536" s="389">
        <f>AVERAGE(H536,I536,K536)</f>
        <v>4.9000000000000004</v>
      </c>
      <c r="O536" s="397">
        <v>2094</v>
      </c>
      <c r="P536" s="398">
        <v>1630</v>
      </c>
      <c r="Q536" s="397">
        <v>1340</v>
      </c>
      <c r="R536" s="397">
        <v>2400</v>
      </c>
      <c r="S536" s="397">
        <v>1360</v>
      </c>
      <c r="T536" s="397">
        <v>1350</v>
      </c>
      <c r="U536" s="397">
        <v>185</v>
      </c>
      <c r="V536" s="397">
        <v>185</v>
      </c>
      <c r="W536" s="397">
        <v>234</v>
      </c>
      <c r="X536" s="397">
        <v>231</v>
      </c>
      <c r="Y536" s="399">
        <f>S536-('FMTC Main'!$E$22-U536)</f>
        <v>1545</v>
      </c>
      <c r="Z536" s="399">
        <f>T536-('FMTC Main'!$E$27-V536)</f>
        <v>1535</v>
      </c>
      <c r="AA536" s="400" t="str">
        <f>A536&amp;" "&amp;B536&amp;" "&amp;C536</f>
        <v>1985 Toyota Sprinter Trueno GT Apex</v>
      </c>
    </row>
    <row r="537" spans="1:27" ht="12.95" customHeight="1">
      <c r="A537" s="394">
        <v>1992</v>
      </c>
      <c r="B537" s="394" t="s">
        <v>267</v>
      </c>
      <c r="C537" s="394" t="s">
        <v>303</v>
      </c>
      <c r="D537" s="395">
        <v>6000</v>
      </c>
      <c r="E537" s="394" t="s">
        <v>1085</v>
      </c>
      <c r="F537" s="394">
        <v>290</v>
      </c>
      <c r="G537" s="396">
        <v>5.4</v>
      </c>
      <c r="H537" s="396">
        <v>4.8</v>
      </c>
      <c r="I537" s="396">
        <v>5.0999999999999996</v>
      </c>
      <c r="J537" s="396">
        <v>5.5</v>
      </c>
      <c r="K537" s="396">
        <v>4.7</v>
      </c>
      <c r="L537" s="394" t="s">
        <v>1103</v>
      </c>
      <c r="M537" s="394"/>
      <c r="N537" s="389">
        <f>AVERAGE(H537,I537,K537)</f>
        <v>4.8666666666666663</v>
      </c>
      <c r="O537" s="397">
        <v>3527</v>
      </c>
      <c r="P537" s="398">
        <v>1745</v>
      </c>
      <c r="Q537" s="397">
        <v>1310</v>
      </c>
      <c r="R537" s="397">
        <v>2596</v>
      </c>
      <c r="S537" s="397">
        <v>1489</v>
      </c>
      <c r="T537" s="397">
        <v>1489</v>
      </c>
      <c r="U537" s="397">
        <v>225</v>
      </c>
      <c r="V537" s="397">
        <v>225</v>
      </c>
      <c r="W537" s="397">
        <v>302</v>
      </c>
      <c r="X537" s="397">
        <v>291</v>
      </c>
      <c r="Y537" s="399">
        <f>S537-('FMTC Main'!$E$22-U537)</f>
        <v>1714</v>
      </c>
      <c r="Z537" s="399">
        <f>T537-('FMTC Main'!$E$27-V537)</f>
        <v>1714</v>
      </c>
      <c r="AA537" s="400" t="str">
        <f>A537&amp;" "&amp;B537&amp;" "&amp;C537</f>
        <v>1992 Toyota Supra 2.0 GT Twin Turbo</v>
      </c>
    </row>
    <row r="538" spans="1:27" ht="12.95" customHeight="1">
      <c r="A538" s="394">
        <v>1998</v>
      </c>
      <c r="B538" s="394" t="s">
        <v>267</v>
      </c>
      <c r="C538" s="394" t="s">
        <v>982</v>
      </c>
      <c r="D538" s="395">
        <v>28000</v>
      </c>
      <c r="E538" s="394" t="s">
        <v>1088</v>
      </c>
      <c r="F538" s="394">
        <v>461</v>
      </c>
      <c r="G538" s="396">
        <v>6.8</v>
      </c>
      <c r="H538" s="396">
        <v>5.0999999999999996</v>
      </c>
      <c r="I538" s="396">
        <v>6.8</v>
      </c>
      <c r="J538" s="396">
        <v>7.1</v>
      </c>
      <c r="K538" s="396">
        <v>4.9000000000000004</v>
      </c>
      <c r="L538" s="394" t="s">
        <v>1103</v>
      </c>
      <c r="M538" s="394"/>
      <c r="N538" s="389">
        <f>AVERAGE(H538,I538,K538)</f>
        <v>5.5999999999999988</v>
      </c>
      <c r="O538" s="397">
        <v>3329</v>
      </c>
      <c r="P538" s="398">
        <v>1810</v>
      </c>
      <c r="Q538" s="397">
        <v>1275</v>
      </c>
      <c r="R538" s="397">
        <v>2550</v>
      </c>
      <c r="S538" s="397">
        <v>1520</v>
      </c>
      <c r="T538" s="397">
        <v>1525</v>
      </c>
      <c r="U538" s="397">
        <v>235</v>
      </c>
      <c r="V538" s="397">
        <v>255</v>
      </c>
      <c r="W538" s="397">
        <v>323</v>
      </c>
      <c r="X538" s="397">
        <v>324</v>
      </c>
      <c r="Y538" s="399">
        <f>S538-('FMTC Main'!$E$22-U538)</f>
        <v>1755</v>
      </c>
      <c r="Z538" s="399">
        <f>T538-('FMTC Main'!$E$27-V538)</f>
        <v>1780</v>
      </c>
      <c r="AA538" s="400" t="str">
        <f>A538&amp;" "&amp;B538&amp;" "&amp;C538</f>
        <v>1998 Toyota Supra Mk.4 RZ</v>
      </c>
    </row>
    <row r="539" spans="1:27" ht="12.95" customHeight="1">
      <c r="A539" s="394">
        <v>1998</v>
      </c>
      <c r="B539" s="394" t="s">
        <v>267</v>
      </c>
      <c r="C539" s="394" t="s">
        <v>304</v>
      </c>
      <c r="D539" s="395"/>
      <c r="E539" s="394" t="s">
        <v>1092</v>
      </c>
      <c r="F539" s="394">
        <v>700</v>
      </c>
      <c r="G539" s="396"/>
      <c r="H539" s="396"/>
      <c r="I539" s="396"/>
      <c r="J539" s="396"/>
      <c r="K539" s="396"/>
      <c r="L539" s="394" t="s">
        <v>1103</v>
      </c>
      <c r="M539" s="394" t="s">
        <v>1096</v>
      </c>
      <c r="N539" s="389" t="e">
        <f>AVERAGE(H539,I539,K539)</f>
        <v>#DIV/0!</v>
      </c>
      <c r="O539" s="397">
        <v>3285</v>
      </c>
      <c r="P539" s="398">
        <v>1810</v>
      </c>
      <c r="Q539" s="397">
        <v>1275</v>
      </c>
      <c r="R539" s="397">
        <v>2550</v>
      </c>
      <c r="S539" s="397">
        <v>1520</v>
      </c>
      <c r="T539" s="397">
        <v>1525</v>
      </c>
      <c r="U539" s="397">
        <v>255</v>
      </c>
      <c r="V539" s="397">
        <v>275</v>
      </c>
      <c r="W539" s="397">
        <v>323</v>
      </c>
      <c r="X539" s="397">
        <v>324</v>
      </c>
      <c r="Y539" s="399">
        <f>S539-('FMTC Main'!$E$22-U539)</f>
        <v>1775</v>
      </c>
      <c r="Z539" s="399">
        <f>T539-('FMTC Main'!$E$27-V539)</f>
        <v>1800</v>
      </c>
      <c r="AA539" s="400" t="str">
        <f>A539&amp;" "&amp;B539&amp;" "&amp;C539</f>
        <v>1998 Toyota Top Secret 0-300 Supra</v>
      </c>
    </row>
    <row r="540" spans="1:27" ht="12.95" customHeight="1">
      <c r="A540" s="394">
        <v>2008</v>
      </c>
      <c r="B540" s="394" t="s">
        <v>267</v>
      </c>
      <c r="C540" s="394" t="s">
        <v>274</v>
      </c>
      <c r="D540" s="395">
        <v>10000</v>
      </c>
      <c r="E540" s="394" t="s">
        <v>1083</v>
      </c>
      <c r="F540" s="394">
        <v>255</v>
      </c>
      <c r="G540" s="396">
        <v>3.4</v>
      </c>
      <c r="H540" s="396">
        <v>4.5999999999999996</v>
      </c>
      <c r="I540" s="396">
        <v>4.8</v>
      </c>
      <c r="J540" s="396">
        <v>5.3</v>
      </c>
      <c r="K540" s="396">
        <v>4.5</v>
      </c>
      <c r="L540" s="394" t="s">
        <v>1103</v>
      </c>
      <c r="M540" s="394"/>
      <c r="N540" s="389">
        <f>AVERAGE(H540,I540,K540)</f>
        <v>4.6333333333333329</v>
      </c>
      <c r="O540" s="397">
        <v>2295</v>
      </c>
      <c r="P540" s="398">
        <v>1694</v>
      </c>
      <c r="Q540" s="397">
        <v>1524</v>
      </c>
      <c r="R540" s="397">
        <v>2461</v>
      </c>
      <c r="S540" s="397">
        <v>1471</v>
      </c>
      <c r="T540" s="397">
        <v>1461</v>
      </c>
      <c r="U540" s="397">
        <v>185</v>
      </c>
      <c r="V540" s="397">
        <v>185</v>
      </c>
      <c r="W540" s="397">
        <v>255</v>
      </c>
      <c r="X540" s="397">
        <v>200</v>
      </c>
      <c r="Y540" s="399">
        <f>S540-('FMTC Main'!$E$22-U540)</f>
        <v>1656</v>
      </c>
      <c r="Z540" s="399">
        <f>T540-('FMTC Main'!$E$27-V540)</f>
        <v>1646</v>
      </c>
      <c r="AA540" s="400" t="str">
        <f>A540&amp;" "&amp;B540&amp;" "&amp;C540</f>
        <v>2008 Toyota Yaris S</v>
      </c>
    </row>
    <row r="541" spans="1:27" ht="12.95" customHeight="1">
      <c r="A541" s="394">
        <v>1998</v>
      </c>
      <c r="B541" s="394" t="s">
        <v>275</v>
      </c>
      <c r="C541" s="394" t="s">
        <v>322</v>
      </c>
      <c r="D541" s="395">
        <v>1000000</v>
      </c>
      <c r="E541" s="394" t="s">
        <v>1094</v>
      </c>
      <c r="F541" s="394">
        <v>758</v>
      </c>
      <c r="G541" s="396">
        <v>10</v>
      </c>
      <c r="H541" s="396">
        <v>6.7</v>
      </c>
      <c r="I541" s="396">
        <v>8.9</v>
      </c>
      <c r="J541" s="396">
        <v>8</v>
      </c>
      <c r="K541" s="396">
        <v>6.4</v>
      </c>
      <c r="L541" s="394" t="s">
        <v>1076</v>
      </c>
      <c r="M541" s="394"/>
      <c r="N541" s="389">
        <f>AVERAGE(H541,I541,K541)</f>
        <v>7.333333333333333</v>
      </c>
      <c r="O541" s="397">
        <v>2150</v>
      </c>
      <c r="P541" s="398">
        <v>2030</v>
      </c>
      <c r="Q541" s="397">
        <v>1160</v>
      </c>
      <c r="R541" s="397">
        <v>2642</v>
      </c>
      <c r="S541" s="397">
        <v>1745</v>
      </c>
      <c r="T541" s="397">
        <v>1685</v>
      </c>
      <c r="U541" s="397">
        <v>285</v>
      </c>
      <c r="V541" s="397">
        <v>345</v>
      </c>
      <c r="W541" s="397">
        <v>378</v>
      </c>
      <c r="X541" s="397">
        <v>272</v>
      </c>
      <c r="Y541" s="399">
        <f>S541-('FMTC Main'!$E$22-U541)</f>
        <v>2030</v>
      </c>
      <c r="Z541" s="399">
        <f>T541-('FMTC Main'!$E$27-V541)</f>
        <v>2030</v>
      </c>
      <c r="AA541" s="400" t="str">
        <f>A541&amp;" "&amp;B541&amp;" "&amp;C541</f>
        <v>1998 TVR Cerbera Speed 12</v>
      </c>
    </row>
    <row r="542" spans="1:27" ht="12.95" customHeight="1">
      <c r="A542" s="394">
        <v>2005</v>
      </c>
      <c r="B542" s="394" t="s">
        <v>275</v>
      </c>
      <c r="C542" s="394" t="s">
        <v>276</v>
      </c>
      <c r="D542" s="395">
        <v>56000</v>
      </c>
      <c r="E542" s="394" t="s">
        <v>349</v>
      </c>
      <c r="F542" s="394">
        <v>566</v>
      </c>
      <c r="G542" s="396">
        <v>7.2</v>
      </c>
      <c r="H542" s="396">
        <v>5.6</v>
      </c>
      <c r="I542" s="396">
        <v>8.1</v>
      </c>
      <c r="J542" s="396">
        <v>7.1</v>
      </c>
      <c r="K542" s="396">
        <v>5.4</v>
      </c>
      <c r="L542" s="394" t="s">
        <v>1076</v>
      </c>
      <c r="M542" s="394"/>
      <c r="N542" s="389">
        <f>AVERAGE(H542,I542,K542)</f>
        <v>6.3666666666666671</v>
      </c>
      <c r="O542" s="397">
        <v>2377</v>
      </c>
      <c r="P542" s="398">
        <v>1850</v>
      </c>
      <c r="Q542" s="397">
        <v>1175</v>
      </c>
      <c r="R542" s="397">
        <v>2360</v>
      </c>
      <c r="S542" s="397">
        <v>1510</v>
      </c>
      <c r="T542" s="397">
        <v>1520</v>
      </c>
      <c r="U542" s="397">
        <v>255</v>
      </c>
      <c r="V542" s="397">
        <v>255</v>
      </c>
      <c r="W542" s="397">
        <v>322</v>
      </c>
      <c r="X542" s="397">
        <v>298</v>
      </c>
      <c r="Y542" s="399">
        <f>S542-('FMTC Main'!$E$22-U542)</f>
        <v>1765</v>
      </c>
      <c r="Z542" s="399">
        <f>T542-('FMTC Main'!$E$27-V542)</f>
        <v>1775</v>
      </c>
      <c r="AA542" s="400" t="str">
        <f>A542&amp;" "&amp;B542&amp;" "&amp;C542</f>
        <v>2005 TVR Sagaris</v>
      </c>
    </row>
    <row r="543" spans="1:27" ht="12.95" customHeight="1">
      <c r="A543" s="394">
        <v>2001</v>
      </c>
      <c r="B543" s="394" t="s">
        <v>275</v>
      </c>
      <c r="C543" s="394" t="s">
        <v>323</v>
      </c>
      <c r="D543" s="395">
        <v>30000</v>
      </c>
      <c r="E543" s="394" t="s">
        <v>349</v>
      </c>
      <c r="F543" s="394">
        <v>544</v>
      </c>
      <c r="G543" s="396">
        <v>7.2</v>
      </c>
      <c r="H543" s="396">
        <v>5.4</v>
      </c>
      <c r="I543" s="396">
        <v>7.9</v>
      </c>
      <c r="J543" s="396">
        <v>7.4</v>
      </c>
      <c r="K543" s="396">
        <v>5.3</v>
      </c>
      <c r="L543" s="394" t="s">
        <v>1076</v>
      </c>
      <c r="M543" s="394"/>
      <c r="N543" s="389">
        <f>AVERAGE(H543,I543,K543)</f>
        <v>6.2</v>
      </c>
      <c r="O543" s="397">
        <v>2425</v>
      </c>
      <c r="P543" s="398">
        <v>1810</v>
      </c>
      <c r="Q543" s="397">
        <v>1200</v>
      </c>
      <c r="R543" s="397">
        <v>2336</v>
      </c>
      <c r="S543" s="397">
        <v>1445</v>
      </c>
      <c r="T543" s="397">
        <v>1501</v>
      </c>
      <c r="U543" s="397">
        <v>225</v>
      </c>
      <c r="V543" s="397">
        <v>255</v>
      </c>
      <c r="W543" s="397">
        <v>322</v>
      </c>
      <c r="X543" s="397">
        <v>298</v>
      </c>
      <c r="Y543" s="399">
        <f>S543-('FMTC Main'!$E$22-U543)</f>
        <v>1670</v>
      </c>
      <c r="Z543" s="399">
        <f>T543-('FMTC Main'!$E$27-V543)</f>
        <v>1756</v>
      </c>
      <c r="AA543" s="400" t="str">
        <f>A543&amp;" "&amp;B543&amp;" "&amp;C543</f>
        <v>2001 TVR Tuscan S</v>
      </c>
    </row>
    <row r="544" spans="1:27" ht="12.95" customHeight="1">
      <c r="A544" s="394">
        <v>2011</v>
      </c>
      <c r="B544" s="394" t="s">
        <v>277</v>
      </c>
      <c r="C544" s="394" t="s">
        <v>987</v>
      </c>
      <c r="D544" s="395">
        <v>10000</v>
      </c>
      <c r="E544" s="394" t="s">
        <v>1099</v>
      </c>
      <c r="F544" s="394">
        <v>121</v>
      </c>
      <c r="G544" s="396">
        <v>3</v>
      </c>
      <c r="H544" s="396">
        <v>4.3</v>
      </c>
      <c r="I544" s="396">
        <v>3.4</v>
      </c>
      <c r="J544" s="396">
        <v>3.6</v>
      </c>
      <c r="K544" s="396">
        <v>4.3</v>
      </c>
      <c r="L544" s="394" t="s">
        <v>1076</v>
      </c>
      <c r="M544" s="394"/>
      <c r="N544" s="389">
        <f>AVERAGE(H544,I544,K544)</f>
        <v>4</v>
      </c>
      <c r="O544" s="397">
        <v>2183</v>
      </c>
      <c r="P544" s="398">
        <v>1680</v>
      </c>
      <c r="Q544" s="397">
        <v>1590</v>
      </c>
      <c r="R544" s="397">
        <v>2360</v>
      </c>
      <c r="S544" s="397">
        <v>1470</v>
      </c>
      <c r="T544" s="397">
        <v>1480</v>
      </c>
      <c r="U544" s="397">
        <v>185</v>
      </c>
      <c r="V544" s="397">
        <v>185</v>
      </c>
      <c r="W544" s="397">
        <v>252</v>
      </c>
      <c r="X544" s="397">
        <v>180</v>
      </c>
      <c r="Y544" s="399">
        <f>S544-('FMTC Main'!$E$22-U544)</f>
        <v>1655</v>
      </c>
      <c r="Z544" s="399">
        <f>T544-('FMTC Main'!$E$27-V544)</f>
        <v>1665</v>
      </c>
      <c r="AA544" s="400" t="str">
        <f>A544&amp;" "&amp;B544&amp;" "&amp;C544</f>
        <v>2011 Vauxhall Agila</v>
      </c>
    </row>
    <row r="545" spans="1:27" ht="12.95" customHeight="1">
      <c r="A545" s="394">
        <v>2006</v>
      </c>
      <c r="B545" s="394" t="s">
        <v>277</v>
      </c>
      <c r="C545" s="394" t="s">
        <v>278</v>
      </c>
      <c r="D545" s="395">
        <v>15000</v>
      </c>
      <c r="E545" s="394" t="s">
        <v>1087</v>
      </c>
      <c r="F545" s="394">
        <v>402</v>
      </c>
      <c r="G545" s="396">
        <v>5.2</v>
      </c>
      <c r="H545" s="396">
        <v>4.7</v>
      </c>
      <c r="I545" s="396">
        <v>6.2</v>
      </c>
      <c r="J545" s="396">
        <v>6.1</v>
      </c>
      <c r="K545" s="396">
        <v>4.7</v>
      </c>
      <c r="L545" s="394" t="s">
        <v>1076</v>
      </c>
      <c r="M545" s="394"/>
      <c r="N545" s="389">
        <f>AVERAGE(H545,I545,K545)</f>
        <v>5.2</v>
      </c>
      <c r="O545" s="397">
        <v>3071</v>
      </c>
      <c r="P545" s="398">
        <v>1753</v>
      </c>
      <c r="Q545" s="397">
        <v>1420</v>
      </c>
      <c r="R545" s="397">
        <v>2614</v>
      </c>
      <c r="S545" s="397">
        <v>1488</v>
      </c>
      <c r="T545" s="397">
        <v>1485</v>
      </c>
      <c r="U545" s="397">
        <v>225</v>
      </c>
      <c r="V545" s="397">
        <v>225</v>
      </c>
      <c r="W545" s="397">
        <v>321</v>
      </c>
      <c r="X545" s="397">
        <v>278</v>
      </c>
      <c r="Y545" s="399">
        <f>S545-('FMTC Main'!$E$22-U545)</f>
        <v>1713</v>
      </c>
      <c r="Z545" s="399">
        <f>T545-('FMTC Main'!$E$27-V545)</f>
        <v>1710</v>
      </c>
      <c r="AA545" s="400" t="str">
        <f>A545&amp;" "&amp;B545&amp;" "&amp;C545</f>
        <v>2006 Vauxhall Astra VXR</v>
      </c>
    </row>
    <row r="546" spans="1:27" ht="12.95" customHeight="1">
      <c r="A546" s="394">
        <v>2009</v>
      </c>
      <c r="B546" s="394" t="s">
        <v>277</v>
      </c>
      <c r="C546" s="394" t="s">
        <v>279</v>
      </c>
      <c r="D546" s="395">
        <v>24000</v>
      </c>
      <c r="E546" s="394" t="s">
        <v>1085</v>
      </c>
      <c r="F546" s="394">
        <v>350</v>
      </c>
      <c r="G546" s="396">
        <v>3.9</v>
      </c>
      <c r="H546" s="396">
        <v>4.5999999999999996</v>
      </c>
      <c r="I546" s="396">
        <v>6.1</v>
      </c>
      <c r="J546" s="396">
        <v>6</v>
      </c>
      <c r="K546" s="396">
        <v>4.5</v>
      </c>
      <c r="L546" s="394" t="s">
        <v>1076</v>
      </c>
      <c r="M546" s="394"/>
      <c r="N546" s="389">
        <f>AVERAGE(H546,I546,K546)</f>
        <v>5.0666666666666664</v>
      </c>
      <c r="O546" s="397">
        <v>2652</v>
      </c>
      <c r="P546" s="398">
        <v>1713</v>
      </c>
      <c r="Q546" s="397">
        <v>1488</v>
      </c>
      <c r="R546" s="397">
        <v>2511</v>
      </c>
      <c r="S546" s="397">
        <v>1485</v>
      </c>
      <c r="T546" s="397">
        <v>1478</v>
      </c>
      <c r="U546" s="397">
        <v>215</v>
      </c>
      <c r="V546" s="397">
        <v>215</v>
      </c>
      <c r="W546" s="397">
        <v>308</v>
      </c>
      <c r="X546" s="397">
        <v>264</v>
      </c>
      <c r="Y546" s="399">
        <f>S546-('FMTC Main'!$E$22-U546)</f>
        <v>1700</v>
      </c>
      <c r="Z546" s="399">
        <f>T546-('FMTC Main'!$E$27-V546)</f>
        <v>1693</v>
      </c>
      <c r="AA546" s="400" t="str">
        <f>A546&amp;" "&amp;B546&amp;" "&amp;C546</f>
        <v>2009 Vauxhall Corsa VXR</v>
      </c>
    </row>
    <row r="547" spans="1:27" ht="12.95" customHeight="1">
      <c r="A547" s="394">
        <v>2010</v>
      </c>
      <c r="B547" s="394" t="s">
        <v>277</v>
      </c>
      <c r="C547" s="394" t="s">
        <v>719</v>
      </c>
      <c r="D547" s="395">
        <v>42000</v>
      </c>
      <c r="E547" s="394" t="s">
        <v>1088</v>
      </c>
      <c r="F547" s="394">
        <v>457</v>
      </c>
      <c r="G547" s="396">
        <v>6.7</v>
      </c>
      <c r="H547" s="396">
        <v>4.7</v>
      </c>
      <c r="I547" s="396">
        <v>6.3</v>
      </c>
      <c r="J547" s="396">
        <v>7.2</v>
      </c>
      <c r="K547" s="396">
        <v>4.5999999999999996</v>
      </c>
      <c r="L547" s="394" t="s">
        <v>1076</v>
      </c>
      <c r="M547" s="394"/>
      <c r="N547" s="389">
        <f>AVERAGE(H547,I547,K547)</f>
        <v>5.2</v>
      </c>
      <c r="O547" s="397">
        <v>3880</v>
      </c>
      <c r="P547" s="398">
        <v>1856</v>
      </c>
      <c r="Q547" s="397">
        <v>1498</v>
      </c>
      <c r="R547" s="397">
        <v>2737</v>
      </c>
      <c r="S547" s="397">
        <v>1585</v>
      </c>
      <c r="T547" s="397">
        <v>1587</v>
      </c>
      <c r="U547" s="397">
        <v>255</v>
      </c>
      <c r="V547" s="397">
        <v>255</v>
      </c>
      <c r="W547" s="397">
        <v>355</v>
      </c>
      <c r="X547" s="397">
        <v>315</v>
      </c>
      <c r="Y547" s="399">
        <f>S547-('FMTC Main'!$E$22-U547)</f>
        <v>1840</v>
      </c>
      <c r="Z547" s="399">
        <f>T547-('FMTC Main'!$E$27-V547)</f>
        <v>1842</v>
      </c>
      <c r="AA547" s="400" t="str">
        <f>A547&amp;" "&amp;B547&amp;" "&amp;C547</f>
        <v>2010 Vauxhall Insignia VXR</v>
      </c>
    </row>
    <row r="548" spans="1:27" ht="12.95" customHeight="1">
      <c r="A548" s="394">
        <v>2005</v>
      </c>
      <c r="B548" s="394" t="s">
        <v>277</v>
      </c>
      <c r="C548" s="394" t="s">
        <v>324</v>
      </c>
      <c r="D548" s="395">
        <v>23000</v>
      </c>
      <c r="E548" s="394" t="s">
        <v>1088</v>
      </c>
      <c r="F548" s="394">
        <v>432</v>
      </c>
      <c r="G548" s="396">
        <v>7</v>
      </c>
      <c r="H548" s="396">
        <v>4.8</v>
      </c>
      <c r="I548" s="396">
        <v>6.8</v>
      </c>
      <c r="J548" s="396">
        <v>6.2</v>
      </c>
      <c r="K548" s="396">
        <v>4.5999999999999996</v>
      </c>
      <c r="L548" s="394" t="s">
        <v>1076</v>
      </c>
      <c r="M548" s="394"/>
      <c r="N548" s="389">
        <f>AVERAGE(H548,I548,K548)</f>
        <v>5.3999999999999995</v>
      </c>
      <c r="O548" s="397">
        <v>3697</v>
      </c>
      <c r="P548" s="398">
        <v>1842</v>
      </c>
      <c r="Q548" s="397">
        <v>1397</v>
      </c>
      <c r="R548" s="397">
        <v>2789</v>
      </c>
      <c r="S548" s="397">
        <v>1570</v>
      </c>
      <c r="T548" s="397">
        <v>1577</v>
      </c>
      <c r="U548" s="397">
        <v>245</v>
      </c>
      <c r="V548" s="397">
        <v>245</v>
      </c>
      <c r="W548" s="397">
        <v>330</v>
      </c>
      <c r="X548" s="397">
        <v>315</v>
      </c>
      <c r="Y548" s="399">
        <f>S548-('FMTC Main'!$E$22-U548)</f>
        <v>1815</v>
      </c>
      <c r="Z548" s="399">
        <f>T548-('FMTC Main'!$E$27-V548)</f>
        <v>1822</v>
      </c>
      <c r="AA548" s="400" t="str">
        <f>A548&amp;" "&amp;B548&amp;" "&amp;C548</f>
        <v>2005 Vauxhall Monaro VXR</v>
      </c>
    </row>
    <row r="549" spans="1:27" ht="12.95" customHeight="1">
      <c r="A549" s="394">
        <v>2004</v>
      </c>
      <c r="B549" s="394" t="s">
        <v>277</v>
      </c>
      <c r="C549" s="394" t="s">
        <v>280</v>
      </c>
      <c r="D549" s="395">
        <v>20000</v>
      </c>
      <c r="E549" s="394" t="s">
        <v>1088</v>
      </c>
      <c r="F549" s="394">
        <v>442</v>
      </c>
      <c r="G549" s="396">
        <v>4.7</v>
      </c>
      <c r="H549" s="396">
        <v>5.2</v>
      </c>
      <c r="I549" s="396">
        <v>6.8</v>
      </c>
      <c r="J549" s="396">
        <v>7.9</v>
      </c>
      <c r="K549" s="396">
        <v>5.2</v>
      </c>
      <c r="L549" s="394" t="s">
        <v>1076</v>
      </c>
      <c r="M549" s="394"/>
      <c r="N549" s="389">
        <f>AVERAGE(H549,I549,K549)</f>
        <v>5.7333333333333334</v>
      </c>
      <c r="O549" s="397">
        <v>2050</v>
      </c>
      <c r="P549" s="398">
        <v>1708</v>
      </c>
      <c r="Q549" s="397">
        <v>1112</v>
      </c>
      <c r="R549" s="397">
        <v>2330</v>
      </c>
      <c r="S549" s="397">
        <v>1450</v>
      </c>
      <c r="T549" s="397">
        <v>1494</v>
      </c>
      <c r="U549" s="397">
        <v>175</v>
      </c>
      <c r="V549" s="397">
        <v>225</v>
      </c>
      <c r="W549" s="397">
        <v>288</v>
      </c>
      <c r="X549" s="397">
        <v>288</v>
      </c>
      <c r="Y549" s="399">
        <f>S549-('FMTC Main'!$E$22-U549)</f>
        <v>1625</v>
      </c>
      <c r="Z549" s="399">
        <f>T549-('FMTC Main'!$E$27-V549)</f>
        <v>1719</v>
      </c>
      <c r="AA549" s="400" t="str">
        <f>A549&amp;" "&amp;B549&amp;" "&amp;C549</f>
        <v>2004 Vauxhall VX220 Turbo</v>
      </c>
    </row>
    <row r="550" spans="1:27" ht="12.95" customHeight="1">
      <c r="A550" s="394">
        <v>2004</v>
      </c>
      <c r="B550" s="394" t="s">
        <v>283</v>
      </c>
      <c r="C550" s="394" t="s">
        <v>1057</v>
      </c>
      <c r="D550" s="395">
        <v>7000</v>
      </c>
      <c r="E550" s="394" t="s">
        <v>1083</v>
      </c>
      <c r="F550" s="394">
        <v>250</v>
      </c>
      <c r="G550" s="396">
        <v>3.4</v>
      </c>
      <c r="H550" s="396">
        <v>4.2</v>
      </c>
      <c r="I550" s="396">
        <v>5.0999999999999996</v>
      </c>
      <c r="J550" s="396">
        <v>5.5</v>
      </c>
      <c r="K550" s="396">
        <v>4.0999999999999996</v>
      </c>
      <c r="L550" s="394" t="s">
        <v>1093</v>
      </c>
      <c r="M550" s="394"/>
      <c r="N550" s="389">
        <f>AVERAGE(H550,I550,K550)</f>
        <v>4.4666666666666668</v>
      </c>
      <c r="O550" s="397">
        <v>3005</v>
      </c>
      <c r="P550" s="397">
        <v>1721</v>
      </c>
      <c r="Q550" s="397">
        <v>1498</v>
      </c>
      <c r="R550" s="397">
        <v>2515</v>
      </c>
      <c r="S550" s="397">
        <v>1509</v>
      </c>
      <c r="T550" s="397">
        <v>1494</v>
      </c>
      <c r="U550" s="397">
        <v>225</v>
      </c>
      <c r="V550" s="397">
        <v>225</v>
      </c>
      <c r="W550" s="397">
        <v>280</v>
      </c>
      <c r="X550" s="397">
        <v>232</v>
      </c>
      <c r="Y550" s="399">
        <f>S550-('FMTC Main'!$E$22-U550)</f>
        <v>1734</v>
      </c>
      <c r="Z550" s="399">
        <f>T550-('FMTC Main'!$E$27-V550)</f>
        <v>1719</v>
      </c>
      <c r="AA550" s="400" t="str">
        <f>A550&amp;" "&amp;B550&amp;" "&amp;C550</f>
        <v>2004 Volkswagen Beetle</v>
      </c>
    </row>
    <row r="551" spans="1:27" ht="12.95" customHeight="1">
      <c r="A551" s="394">
        <v>2003</v>
      </c>
      <c r="B551" s="394" t="s">
        <v>283</v>
      </c>
      <c r="C551" s="394" t="s">
        <v>284</v>
      </c>
      <c r="D551" s="395">
        <v>9000</v>
      </c>
      <c r="E551" s="394" t="s">
        <v>1085</v>
      </c>
      <c r="F551" s="394">
        <v>327</v>
      </c>
      <c r="G551" s="396">
        <v>4.9000000000000004</v>
      </c>
      <c r="H551" s="396">
        <v>4.3</v>
      </c>
      <c r="I551" s="396">
        <v>5.5</v>
      </c>
      <c r="J551" s="396">
        <v>6.1</v>
      </c>
      <c r="K551" s="396">
        <v>4.2</v>
      </c>
      <c r="L551" s="394" t="s">
        <v>1093</v>
      </c>
      <c r="M551" s="394"/>
      <c r="N551" s="389">
        <f>AVERAGE(H551,I551,K551)</f>
        <v>4.666666666666667</v>
      </c>
      <c r="O551" s="397">
        <v>3212</v>
      </c>
      <c r="P551" s="398">
        <v>1735</v>
      </c>
      <c r="Q551" s="397">
        <v>1446</v>
      </c>
      <c r="R551" s="397">
        <v>2513</v>
      </c>
      <c r="S551" s="397">
        <v>1513</v>
      </c>
      <c r="T551" s="397">
        <v>1494</v>
      </c>
      <c r="U551" s="397">
        <v>225</v>
      </c>
      <c r="V551" s="397">
        <v>225</v>
      </c>
      <c r="W551" s="397">
        <v>312</v>
      </c>
      <c r="X551" s="397">
        <v>256</v>
      </c>
      <c r="Y551" s="399">
        <f>S551-('FMTC Main'!$E$22-U551)</f>
        <v>1738</v>
      </c>
      <c r="Z551" s="399">
        <f>T551-('FMTC Main'!$E$27-V551)</f>
        <v>1719</v>
      </c>
      <c r="AA551" s="400" t="str">
        <f>A551&amp;" "&amp;B551&amp;" "&amp;C551</f>
        <v>2003 Volkswagen Bora VR6</v>
      </c>
    </row>
    <row r="552" spans="1:27" ht="12.95" customHeight="1">
      <c r="A552" s="394">
        <v>1995</v>
      </c>
      <c r="B552" s="394" t="s">
        <v>283</v>
      </c>
      <c r="C552" s="394" t="s">
        <v>285</v>
      </c>
      <c r="D552" s="395">
        <v>6000</v>
      </c>
      <c r="E552" s="394" t="s">
        <v>1085</v>
      </c>
      <c r="F552" s="394">
        <v>321</v>
      </c>
      <c r="G552" s="396">
        <v>4.8</v>
      </c>
      <c r="H552" s="396">
        <v>4.2</v>
      </c>
      <c r="I552" s="396">
        <v>5.4</v>
      </c>
      <c r="J552" s="396">
        <v>5.8</v>
      </c>
      <c r="K552" s="396">
        <v>4</v>
      </c>
      <c r="L552" s="394" t="s">
        <v>1093</v>
      </c>
      <c r="M552" s="394"/>
      <c r="N552" s="389">
        <f>AVERAGE(H552,I552,K552)</f>
        <v>4.5333333333333341</v>
      </c>
      <c r="O552" s="397">
        <v>2734</v>
      </c>
      <c r="P552" s="398">
        <v>1674</v>
      </c>
      <c r="Q552" s="397">
        <v>1318</v>
      </c>
      <c r="R552" s="397">
        <v>2470</v>
      </c>
      <c r="S552" s="397">
        <v>1425</v>
      </c>
      <c r="T552" s="397">
        <v>1380</v>
      </c>
      <c r="U552" s="397">
        <v>205</v>
      </c>
      <c r="V552" s="397">
        <v>205</v>
      </c>
      <c r="W552" s="397">
        <v>280</v>
      </c>
      <c r="X552" s="397">
        <v>226</v>
      </c>
      <c r="Y552" s="399">
        <f>S552-('FMTC Main'!$E$22-U552)</f>
        <v>1630</v>
      </c>
      <c r="Z552" s="399">
        <f>T552-('FMTC Main'!$E$27-V552)</f>
        <v>1585</v>
      </c>
      <c r="AA552" s="400" t="str">
        <f>A552&amp;" "&amp;B552&amp;" "&amp;C552</f>
        <v>1995 Volkswagen Corrado VR6</v>
      </c>
    </row>
    <row r="553" spans="1:27" ht="12.95" customHeight="1">
      <c r="A553" s="394">
        <v>2011</v>
      </c>
      <c r="B553" s="394" t="s">
        <v>283</v>
      </c>
      <c r="C553" s="394" t="s">
        <v>988</v>
      </c>
      <c r="D553" s="395">
        <v>10000</v>
      </c>
      <c r="E553" s="394" t="s">
        <v>1099</v>
      </c>
      <c r="F553" s="394">
        <v>101</v>
      </c>
      <c r="G553" s="396">
        <v>3</v>
      </c>
      <c r="H553" s="396">
        <v>4.2</v>
      </c>
      <c r="I553" s="396">
        <v>3.1</v>
      </c>
      <c r="J553" s="396">
        <v>3.3</v>
      </c>
      <c r="K553" s="396">
        <v>4.0999999999999996</v>
      </c>
      <c r="L553" s="394" t="s">
        <v>1093</v>
      </c>
      <c r="M553" s="394"/>
      <c r="N553" s="389">
        <f>AVERAGE(H553,I553,K553)</f>
        <v>3.8000000000000003</v>
      </c>
      <c r="O553" s="397">
        <v>2410</v>
      </c>
      <c r="P553" s="397">
        <v>1660</v>
      </c>
      <c r="Q553" s="397">
        <v>1544</v>
      </c>
      <c r="R553" s="397">
        <v>2465</v>
      </c>
      <c r="S553" s="397">
        <v>1431</v>
      </c>
      <c r="T553" s="397">
        <v>1424</v>
      </c>
      <c r="U553" s="397">
        <v>165</v>
      </c>
      <c r="V553" s="397">
        <v>165</v>
      </c>
      <c r="W553" s="397">
        <v>256</v>
      </c>
      <c r="X553" s="397">
        <v>200</v>
      </c>
      <c r="Y553" s="399">
        <f>S553-('FMTC Main'!$E$22-U553)</f>
        <v>1596</v>
      </c>
      <c r="Z553" s="399">
        <f>T553-('FMTC Main'!$E$27-V553)</f>
        <v>1589</v>
      </c>
      <c r="AA553" s="400" t="str">
        <f>A553&amp;" "&amp;B553&amp;" "&amp;C553</f>
        <v>2011 Volkswagen Fox</v>
      </c>
    </row>
    <row r="554" spans="1:27" ht="12.95" customHeight="1">
      <c r="A554" s="394">
        <v>2006</v>
      </c>
      <c r="B554" s="394" t="s">
        <v>283</v>
      </c>
      <c r="C554" s="394" t="s">
        <v>1061</v>
      </c>
      <c r="D554" s="395">
        <v>16000</v>
      </c>
      <c r="E554" s="394" t="s">
        <v>1087</v>
      </c>
      <c r="F554" s="394">
        <v>379</v>
      </c>
      <c r="G554" s="396">
        <v>4.5999999999999996</v>
      </c>
      <c r="H554" s="396">
        <v>5</v>
      </c>
      <c r="I554" s="396">
        <v>5.8</v>
      </c>
      <c r="J554" s="396">
        <v>6.2</v>
      </c>
      <c r="K554" s="396">
        <v>4.9000000000000004</v>
      </c>
      <c r="L554" s="394" t="s">
        <v>1093</v>
      </c>
      <c r="M554" s="394"/>
      <c r="N554" s="389">
        <f>AVERAGE(H554,I554,K554)</f>
        <v>5.2333333333333334</v>
      </c>
      <c r="O554" s="397">
        <v>2932</v>
      </c>
      <c r="P554" s="397">
        <v>1759</v>
      </c>
      <c r="Q554" s="397">
        <v>1470</v>
      </c>
      <c r="R554" s="397">
        <v>2578</v>
      </c>
      <c r="S554" s="397">
        <v>1539</v>
      </c>
      <c r="T554" s="397">
        <v>1528</v>
      </c>
      <c r="U554" s="397">
        <v>225</v>
      </c>
      <c r="V554" s="397">
        <v>225</v>
      </c>
      <c r="W554" s="397">
        <v>312</v>
      </c>
      <c r="X554" s="397">
        <v>286</v>
      </c>
      <c r="Y554" s="399">
        <f>S554-('FMTC Main'!$E$22-U554)</f>
        <v>1764</v>
      </c>
      <c r="Z554" s="399">
        <f>T554-('FMTC Main'!$E$27-V554)</f>
        <v>1753</v>
      </c>
      <c r="AA554" s="400" t="str">
        <f>A554&amp;" "&amp;B554&amp;" "&amp;C554</f>
        <v>2006 Volkswagen Golf GTI</v>
      </c>
    </row>
    <row r="555" spans="1:27" ht="12.95" customHeight="1">
      <c r="A555" s="394">
        <v>1992</v>
      </c>
      <c r="B555" s="394" t="s">
        <v>283</v>
      </c>
      <c r="C555" s="394" t="s">
        <v>1059</v>
      </c>
      <c r="D555" s="395">
        <v>6000</v>
      </c>
      <c r="E555" s="394" t="s">
        <v>1083</v>
      </c>
      <c r="F555" s="394">
        <v>243</v>
      </c>
      <c r="G555" s="396">
        <v>3.2</v>
      </c>
      <c r="H555" s="396">
        <v>4.5999999999999996</v>
      </c>
      <c r="I555" s="396">
        <v>4.8</v>
      </c>
      <c r="J555" s="396">
        <v>5.2</v>
      </c>
      <c r="K555" s="396">
        <v>4.5</v>
      </c>
      <c r="L555" s="394" t="s">
        <v>1093</v>
      </c>
      <c r="M555" s="394"/>
      <c r="N555" s="389">
        <f>AVERAGE(H555,I555,K555)</f>
        <v>4.6333333333333329</v>
      </c>
      <c r="O555" s="397">
        <v>2425</v>
      </c>
      <c r="P555" s="398">
        <v>1680</v>
      </c>
      <c r="Q555" s="397">
        <v>1415</v>
      </c>
      <c r="R555" s="397">
        <v>2475</v>
      </c>
      <c r="S555" s="397">
        <v>1427</v>
      </c>
      <c r="T555" s="397">
        <v>1422</v>
      </c>
      <c r="U555" s="397">
        <v>195</v>
      </c>
      <c r="V555" s="397">
        <v>195</v>
      </c>
      <c r="W555" s="397">
        <v>256</v>
      </c>
      <c r="X555" s="397">
        <v>226</v>
      </c>
      <c r="Y555" s="399">
        <f>S555-('FMTC Main'!$E$22-U555)</f>
        <v>1622</v>
      </c>
      <c r="Z555" s="399">
        <f>T555-('FMTC Main'!$E$27-V555)</f>
        <v>1617</v>
      </c>
      <c r="AA555" s="400" t="str">
        <f>A555&amp;" "&amp;B555&amp;" "&amp;C555</f>
        <v>1992 Volkswagen Golf GTi 16v Mk2</v>
      </c>
    </row>
    <row r="556" spans="1:27" ht="12.95" customHeight="1">
      <c r="A556" s="394">
        <v>2010</v>
      </c>
      <c r="B556" s="394" t="s">
        <v>283</v>
      </c>
      <c r="C556" s="394" t="s">
        <v>1062</v>
      </c>
      <c r="D556" s="395">
        <v>26000</v>
      </c>
      <c r="E556" s="394" t="s">
        <v>1087</v>
      </c>
      <c r="F556" s="394">
        <v>387</v>
      </c>
      <c r="G556" s="396">
        <v>5</v>
      </c>
      <c r="H556" s="396">
        <v>4.9000000000000004</v>
      </c>
      <c r="I556" s="396">
        <v>5.9</v>
      </c>
      <c r="J556" s="396">
        <v>6.2</v>
      </c>
      <c r="K556" s="396">
        <v>4.8</v>
      </c>
      <c r="L556" s="394" t="s">
        <v>1093</v>
      </c>
      <c r="M556" s="394"/>
      <c r="N556" s="389">
        <f>AVERAGE(H556,I556,K556)</f>
        <v>5.2</v>
      </c>
      <c r="O556" s="397">
        <v>3265</v>
      </c>
      <c r="P556" s="397">
        <v>1786</v>
      </c>
      <c r="Q556" s="397">
        <v>1532</v>
      </c>
      <c r="R556" s="397">
        <v>2578</v>
      </c>
      <c r="S556" s="397">
        <v>1533</v>
      </c>
      <c r="T556" s="397">
        <v>1514</v>
      </c>
      <c r="U556" s="397">
        <v>225</v>
      </c>
      <c r="V556" s="397">
        <v>225</v>
      </c>
      <c r="W556" s="397">
        <v>312</v>
      </c>
      <c r="X556" s="397">
        <v>282</v>
      </c>
      <c r="Y556" s="399">
        <f>S556-('FMTC Main'!$E$22-U556)</f>
        <v>1758</v>
      </c>
      <c r="Z556" s="399">
        <f>T556-('FMTC Main'!$E$27-V556)</f>
        <v>1739</v>
      </c>
      <c r="AA556" s="400" t="str">
        <f>A556&amp;" "&amp;B556&amp;" "&amp;C556</f>
        <v>2010 Volkswagen Golf GTI Mk6</v>
      </c>
    </row>
    <row r="557" spans="1:27" ht="12.95" customHeight="1">
      <c r="A557" s="394">
        <v>2010</v>
      </c>
      <c r="B557" s="394" t="s">
        <v>283</v>
      </c>
      <c r="C557" s="394" t="s">
        <v>1063</v>
      </c>
      <c r="D557" s="395">
        <v>42000</v>
      </c>
      <c r="E557" s="394" t="s">
        <v>1088</v>
      </c>
      <c r="F557" s="394">
        <v>466</v>
      </c>
      <c r="G557" s="396">
        <v>5.6</v>
      </c>
      <c r="H557" s="396">
        <v>4.9000000000000004</v>
      </c>
      <c r="I557" s="396">
        <v>6.5</v>
      </c>
      <c r="J557" s="396">
        <v>7.4</v>
      </c>
      <c r="K557" s="396">
        <v>4.8</v>
      </c>
      <c r="L557" s="394" t="s">
        <v>1093</v>
      </c>
      <c r="M557" s="394"/>
      <c r="N557" s="389">
        <f>AVERAGE(H557,I557,K557)</f>
        <v>5.3999999999999995</v>
      </c>
      <c r="O557" s="397">
        <v>3188</v>
      </c>
      <c r="P557" s="397">
        <v>1786</v>
      </c>
      <c r="Q557" s="397">
        <v>1532</v>
      </c>
      <c r="R557" s="397">
        <v>2578</v>
      </c>
      <c r="S557" s="397">
        <v>1533</v>
      </c>
      <c r="T557" s="397">
        <v>1515</v>
      </c>
      <c r="U557" s="397">
        <v>235</v>
      </c>
      <c r="V557" s="397">
        <v>235</v>
      </c>
      <c r="W557" s="397">
        <v>345</v>
      </c>
      <c r="X557" s="397">
        <v>310</v>
      </c>
      <c r="Y557" s="399">
        <f>S557-('FMTC Main'!$E$22-U557)</f>
        <v>1768</v>
      </c>
      <c r="Z557" s="399">
        <f>T557-('FMTC Main'!$E$27-V557)</f>
        <v>1750</v>
      </c>
      <c r="AA557" s="400" t="str">
        <f>A557&amp;" "&amp;B557&amp;" "&amp;C557</f>
        <v>2010 Volkswagen Golf R</v>
      </c>
    </row>
    <row r="558" spans="1:27" ht="12.95" customHeight="1">
      <c r="A558" s="394">
        <v>2003</v>
      </c>
      <c r="B558" s="394" t="s">
        <v>283</v>
      </c>
      <c r="C558" s="394" t="s">
        <v>1064</v>
      </c>
      <c r="D558" s="395">
        <v>18000</v>
      </c>
      <c r="E558" s="394" t="s">
        <v>1088</v>
      </c>
      <c r="F558" s="394">
        <v>430</v>
      </c>
      <c r="G558" s="396">
        <v>5.2</v>
      </c>
      <c r="H558" s="396">
        <v>4.8</v>
      </c>
      <c r="I558" s="396">
        <v>6.4</v>
      </c>
      <c r="J558" s="396">
        <v>7.2</v>
      </c>
      <c r="K558" s="396">
        <v>4.7</v>
      </c>
      <c r="L558" s="394" t="s">
        <v>1093</v>
      </c>
      <c r="M558" s="394"/>
      <c r="N558" s="389">
        <f>AVERAGE(H558,I558,K558)</f>
        <v>5.3</v>
      </c>
      <c r="O558" s="397">
        <v>3256</v>
      </c>
      <c r="P558" s="398">
        <v>1759</v>
      </c>
      <c r="Q558" s="397">
        <v>1479</v>
      </c>
      <c r="R558" s="397">
        <v>2578</v>
      </c>
      <c r="S558" s="397">
        <v>1533</v>
      </c>
      <c r="T558" s="397">
        <v>1515</v>
      </c>
      <c r="U558" s="397">
        <v>225</v>
      </c>
      <c r="V558" s="397">
        <v>225</v>
      </c>
      <c r="W558" s="397">
        <v>345</v>
      </c>
      <c r="X558" s="397">
        <v>310</v>
      </c>
      <c r="Y558" s="399">
        <f>S558-('FMTC Main'!$E$22-U558)</f>
        <v>1758</v>
      </c>
      <c r="Z558" s="399">
        <f>T558-('FMTC Main'!$E$27-V558)</f>
        <v>1740</v>
      </c>
      <c r="AA558" s="400" t="str">
        <f>A558&amp;" "&amp;B558&amp;" "&amp;C558</f>
        <v>2003 Volkswagen Golf R32</v>
      </c>
    </row>
    <row r="559" spans="1:27" ht="12.95" customHeight="1">
      <c r="A559" s="394">
        <v>1998</v>
      </c>
      <c r="B559" s="394" t="s">
        <v>283</v>
      </c>
      <c r="C559" s="394" t="s">
        <v>1060</v>
      </c>
      <c r="D559" s="395">
        <v>6000</v>
      </c>
      <c r="E559" s="394" t="s">
        <v>1085</v>
      </c>
      <c r="F559" s="394">
        <v>301</v>
      </c>
      <c r="G559" s="396">
        <v>4.2</v>
      </c>
      <c r="H559" s="396">
        <v>4.5999999999999996</v>
      </c>
      <c r="I559" s="396">
        <v>5.3</v>
      </c>
      <c r="J559" s="396">
        <v>5.8</v>
      </c>
      <c r="K559" s="396">
        <v>4.4000000000000004</v>
      </c>
      <c r="L559" s="394" t="s">
        <v>1093</v>
      </c>
      <c r="M559" s="394"/>
      <c r="N559" s="389">
        <f>AVERAGE(H559,I559,K559)</f>
        <v>4.7666666666666666</v>
      </c>
      <c r="O559" s="397">
        <v>2800</v>
      </c>
      <c r="P559" s="398">
        <v>1710</v>
      </c>
      <c r="Q559" s="397">
        <v>1405</v>
      </c>
      <c r="R559" s="397">
        <v>2474</v>
      </c>
      <c r="S559" s="397">
        <v>1452</v>
      </c>
      <c r="T559" s="397">
        <v>1436</v>
      </c>
      <c r="U559" s="397">
        <v>205</v>
      </c>
      <c r="V559" s="397">
        <v>205</v>
      </c>
      <c r="W559" s="397">
        <v>280</v>
      </c>
      <c r="X559" s="397">
        <v>226</v>
      </c>
      <c r="Y559" s="399">
        <f>S559-('FMTC Main'!$E$22-U559)</f>
        <v>1657</v>
      </c>
      <c r="Z559" s="399">
        <f>T559-('FMTC Main'!$E$27-V559)</f>
        <v>1641</v>
      </c>
      <c r="AA559" s="400" t="str">
        <f>A559&amp;" "&amp;B559&amp;" "&amp;C559</f>
        <v>1998 Volkswagen GTI VR6 Mk3</v>
      </c>
    </row>
    <row r="560" spans="1:27" ht="12.95" customHeight="1">
      <c r="A560" s="394">
        <v>1984</v>
      </c>
      <c r="B560" s="394" t="s">
        <v>283</v>
      </c>
      <c r="C560" s="394" t="s">
        <v>1058</v>
      </c>
      <c r="D560" s="395">
        <v>5000</v>
      </c>
      <c r="E560" s="394" t="s">
        <v>1099</v>
      </c>
      <c r="F560" s="394">
        <v>182</v>
      </c>
      <c r="G560" s="396">
        <v>3</v>
      </c>
      <c r="H560" s="396">
        <v>3.9</v>
      </c>
      <c r="I560" s="396">
        <v>4.8</v>
      </c>
      <c r="J560" s="396">
        <v>5.5</v>
      </c>
      <c r="K560" s="396">
        <v>3.9</v>
      </c>
      <c r="L560" s="394" t="s">
        <v>1093</v>
      </c>
      <c r="M560" s="394"/>
      <c r="N560" s="389">
        <f>AVERAGE(H560,I560,K560)</f>
        <v>4.2</v>
      </c>
      <c r="O560" s="397">
        <v>2100</v>
      </c>
      <c r="P560" s="398">
        <v>1610</v>
      </c>
      <c r="Q560" s="397">
        <v>1390</v>
      </c>
      <c r="R560" s="397">
        <v>2400</v>
      </c>
      <c r="S560" s="397">
        <v>1404</v>
      </c>
      <c r="T560" s="397">
        <v>1372</v>
      </c>
      <c r="U560" s="397">
        <v>185</v>
      </c>
      <c r="V560" s="397">
        <v>185</v>
      </c>
      <c r="W560" s="397">
        <v>239</v>
      </c>
      <c r="X560" s="397">
        <v>180</v>
      </c>
      <c r="Y560" s="399">
        <f>S560-('FMTC Main'!$E$22-U560)</f>
        <v>1589</v>
      </c>
      <c r="Z560" s="399">
        <f>T560-('FMTC Main'!$E$27-V560)</f>
        <v>1557</v>
      </c>
      <c r="AA560" s="400" t="str">
        <f>A560&amp;" "&amp;B560&amp;" "&amp;C560</f>
        <v>1984 Volkswagen Rabbit GTI</v>
      </c>
    </row>
    <row r="561" spans="1:27" ht="12.95" customHeight="1">
      <c r="A561" s="394">
        <v>2009</v>
      </c>
      <c r="B561" s="394" t="s">
        <v>283</v>
      </c>
      <c r="C561" s="394" t="s">
        <v>286</v>
      </c>
      <c r="D561" s="395">
        <v>32000</v>
      </c>
      <c r="E561" s="394" t="s">
        <v>1087</v>
      </c>
      <c r="F561" s="394">
        <v>382</v>
      </c>
      <c r="G561" s="396">
        <v>4.5</v>
      </c>
      <c r="H561" s="396">
        <v>5</v>
      </c>
      <c r="I561" s="396">
        <v>5.9</v>
      </c>
      <c r="J561" s="396">
        <v>6.3</v>
      </c>
      <c r="K561" s="396">
        <v>4.8</v>
      </c>
      <c r="L561" s="394" t="s">
        <v>1093</v>
      </c>
      <c r="M561" s="394"/>
      <c r="N561" s="389">
        <f>AVERAGE(H561,I561,K561)</f>
        <v>5.2333333333333334</v>
      </c>
      <c r="O561" s="397">
        <v>2906</v>
      </c>
      <c r="P561" s="397">
        <v>1810</v>
      </c>
      <c r="Q561" s="397">
        <v>1410</v>
      </c>
      <c r="R561" s="397">
        <v>2578</v>
      </c>
      <c r="S561" s="397">
        <v>1569</v>
      </c>
      <c r="T561" s="397">
        <v>1575</v>
      </c>
      <c r="U561" s="397">
        <v>235</v>
      </c>
      <c r="V561" s="397">
        <v>235</v>
      </c>
      <c r="W561" s="397">
        <v>288</v>
      </c>
      <c r="X561" s="397">
        <v>253</v>
      </c>
      <c r="Y561" s="399">
        <f>S561-('FMTC Main'!$E$22-U561)</f>
        <v>1804</v>
      </c>
      <c r="Z561" s="399">
        <f>T561-('FMTC Main'!$E$27-V561)</f>
        <v>1810</v>
      </c>
      <c r="AA561" s="400" t="str">
        <f>A561&amp;" "&amp;B561&amp;" "&amp;C561</f>
        <v>2009 Volkswagen Scirocco GT</v>
      </c>
    </row>
    <row r="562" spans="1:27" ht="12.95" customHeight="1">
      <c r="A562" s="402">
        <v>2011</v>
      </c>
      <c r="B562" s="402" t="s">
        <v>283</v>
      </c>
      <c r="C562" s="402" t="s">
        <v>1136</v>
      </c>
      <c r="D562" s="403">
        <v>45000</v>
      </c>
      <c r="E562" s="402" t="s">
        <v>1088</v>
      </c>
      <c r="F562" s="402">
        <v>458</v>
      </c>
      <c r="G562" s="404">
        <v>5.6</v>
      </c>
      <c r="H562" s="404">
        <v>4.9000000000000004</v>
      </c>
      <c r="I562" s="404">
        <v>6.8</v>
      </c>
      <c r="J562" s="404">
        <v>6.6</v>
      </c>
      <c r="K562" s="404">
        <v>4.8</v>
      </c>
      <c r="L562" s="402" t="s">
        <v>1093</v>
      </c>
      <c r="M562" s="394"/>
      <c r="N562" s="389">
        <f>AVERAGE(H562,I562,K562)</f>
        <v>5.5</v>
      </c>
      <c r="O562" s="405">
        <v>2963</v>
      </c>
      <c r="P562" s="405">
        <v>1810</v>
      </c>
      <c r="Q562" s="405">
        <v>1410</v>
      </c>
      <c r="R562" s="405">
        <v>2578</v>
      </c>
      <c r="S562" s="405">
        <v>1553</v>
      </c>
      <c r="T562" s="405">
        <v>1561</v>
      </c>
      <c r="U562" s="405">
        <v>235</v>
      </c>
      <c r="V562" s="405">
        <v>235</v>
      </c>
      <c r="W562" s="405">
        <v>345</v>
      </c>
      <c r="X562" s="405">
        <v>310</v>
      </c>
      <c r="Y562" s="406">
        <f>S562-('FMTC Main'!$E$22-U562)</f>
        <v>1788</v>
      </c>
      <c r="Z562" s="406">
        <f>T562-('FMTC Main'!$E$27-V562)</f>
        <v>1796</v>
      </c>
      <c r="AA562" s="407" t="str">
        <f>A562&amp;" "&amp;B562&amp;" "&amp;C562</f>
        <v>2011 Volkswagen Scirocco R</v>
      </c>
    </row>
    <row r="563" spans="1:27" ht="12.95" customHeight="1">
      <c r="A563" s="394">
        <v>2008</v>
      </c>
      <c r="B563" s="394" t="s">
        <v>283</v>
      </c>
      <c r="C563" s="394" t="s">
        <v>287</v>
      </c>
      <c r="D563" s="395">
        <v>65000</v>
      </c>
      <c r="E563" s="394" t="s">
        <v>1087</v>
      </c>
      <c r="F563" s="394">
        <v>373</v>
      </c>
      <c r="G563" s="396">
        <v>5.2</v>
      </c>
      <c r="H563" s="396">
        <v>3.8</v>
      </c>
      <c r="I563" s="396">
        <v>5.9</v>
      </c>
      <c r="J563" s="396">
        <v>6.9</v>
      </c>
      <c r="K563" s="396">
        <v>4</v>
      </c>
      <c r="L563" s="394" t="s">
        <v>1093</v>
      </c>
      <c r="M563" s="394"/>
      <c r="N563" s="389">
        <f>AVERAGE(H563,I563,K563)</f>
        <v>4.5666666666666664</v>
      </c>
      <c r="O563" s="397">
        <v>5745</v>
      </c>
      <c r="P563" s="397">
        <v>1928</v>
      </c>
      <c r="Q563" s="397">
        <v>1778</v>
      </c>
      <c r="R563" s="397">
        <v>2860</v>
      </c>
      <c r="S563" s="397">
        <v>1655</v>
      </c>
      <c r="T563" s="397">
        <v>1670</v>
      </c>
      <c r="U563" s="397">
        <v>295</v>
      </c>
      <c r="V563" s="397">
        <v>295</v>
      </c>
      <c r="W563" s="397">
        <v>368</v>
      </c>
      <c r="X563" s="397">
        <v>358</v>
      </c>
      <c r="Y563" s="399">
        <f>S563-('FMTC Main'!$E$22-U563)</f>
        <v>1950</v>
      </c>
      <c r="Z563" s="399">
        <f>T563-('FMTC Main'!$E$27-V563)</f>
        <v>1965</v>
      </c>
      <c r="AA563" s="400" t="str">
        <f>A563&amp;" "&amp;B563&amp;" "&amp;C563</f>
        <v>2008 Volkswagen Touareg R50</v>
      </c>
    </row>
    <row r="564" spans="1:27" ht="12.95" customHeight="1">
      <c r="A564" s="402">
        <v>1981</v>
      </c>
      <c r="B564" s="402" t="s">
        <v>1147</v>
      </c>
      <c r="C564" s="402" t="s">
        <v>1148</v>
      </c>
      <c r="D564" s="403">
        <v>5000</v>
      </c>
      <c r="E564" s="402" t="s">
        <v>1099</v>
      </c>
      <c r="F564" s="402">
        <v>102</v>
      </c>
      <c r="G564" s="404">
        <v>3</v>
      </c>
      <c r="H564" s="404">
        <v>3.4</v>
      </c>
      <c r="I564" s="404">
        <v>3.8</v>
      </c>
      <c r="J564" s="404">
        <v>4.2</v>
      </c>
      <c r="K564" s="404">
        <v>3.3</v>
      </c>
      <c r="L564" s="402" t="s">
        <v>1093</v>
      </c>
      <c r="M564" s="402" t="s">
        <v>1141</v>
      </c>
      <c r="N564" s="389">
        <f>AVERAGE(H564,I564,K564)</f>
        <v>3.5</v>
      </c>
      <c r="O564" s="405">
        <v>2015</v>
      </c>
      <c r="P564" s="405">
        <v>1624</v>
      </c>
      <c r="Q564" s="405">
        <v>1309</v>
      </c>
      <c r="R564" s="405">
        <v>2400</v>
      </c>
      <c r="S564" s="405">
        <v>1390</v>
      </c>
      <c r="T564" s="405">
        <v>1385</v>
      </c>
      <c r="U564" s="405">
        <v>175</v>
      </c>
      <c r="V564" s="405">
        <v>175</v>
      </c>
      <c r="W564" s="405">
        <v>239</v>
      </c>
      <c r="X564" s="405">
        <v>180</v>
      </c>
      <c r="Y564" s="406">
        <f>S564-('FMTC Main'!$E$22-U564)</f>
        <v>1565</v>
      </c>
      <c r="Z564" s="406">
        <f>T564-('FMTC Main'!$E$27-V564)</f>
        <v>1560</v>
      </c>
      <c r="AA564" s="407" t="str">
        <f>A564&amp;" "&amp;B564&amp;" "&amp;C564</f>
        <v>1981 Volkswagon Scirroco S</v>
      </c>
    </row>
    <row r="565" spans="1:27" ht="12.95" customHeight="1">
      <c r="A565" s="394">
        <v>1983</v>
      </c>
      <c r="B565" s="394" t="s">
        <v>281</v>
      </c>
      <c r="C565" s="394" t="s">
        <v>720</v>
      </c>
      <c r="D565" s="395">
        <v>5000</v>
      </c>
      <c r="E565" s="394" t="s">
        <v>1085</v>
      </c>
      <c r="F565" s="394">
        <v>297</v>
      </c>
      <c r="G565" s="396">
        <v>4.5</v>
      </c>
      <c r="H565" s="396">
        <v>3.9</v>
      </c>
      <c r="I565" s="396">
        <v>6.2</v>
      </c>
      <c r="J565" s="396">
        <v>6.2</v>
      </c>
      <c r="K565" s="396">
        <v>3.9</v>
      </c>
      <c r="L565" s="394" t="s">
        <v>1105</v>
      </c>
      <c r="M565" s="394"/>
      <c r="N565" s="389">
        <f>AVERAGE(H565,I565,K565)</f>
        <v>4.666666666666667</v>
      </c>
      <c r="O565" s="397">
        <v>3175</v>
      </c>
      <c r="P565" s="397">
        <v>1710</v>
      </c>
      <c r="Q565" s="397">
        <v>1460</v>
      </c>
      <c r="R565" s="397">
        <v>2649</v>
      </c>
      <c r="S565" s="397">
        <v>1420</v>
      </c>
      <c r="T565" s="397">
        <v>1350</v>
      </c>
      <c r="U565" s="397">
        <v>195</v>
      </c>
      <c r="V565" s="397">
        <v>195</v>
      </c>
      <c r="W565" s="397">
        <v>263</v>
      </c>
      <c r="X565" s="397">
        <v>281</v>
      </c>
      <c r="Y565" s="399">
        <f>S565-('FMTC Main'!$E$22-U565)</f>
        <v>1615</v>
      </c>
      <c r="Z565" s="399">
        <f>T565-('FMTC Main'!$E$27-V565)</f>
        <v>1545</v>
      </c>
      <c r="AA565" s="400" t="str">
        <f>A565&amp;" "&amp;B565&amp;" "&amp;C565</f>
        <v>1983 Volvo 242 Turbo Evolution</v>
      </c>
    </row>
    <row r="566" spans="1:27" ht="12.95" customHeight="1">
      <c r="A566" s="394">
        <v>2009</v>
      </c>
      <c r="B566" s="394" t="s">
        <v>281</v>
      </c>
      <c r="C566" s="394" t="s">
        <v>282</v>
      </c>
      <c r="D566" s="395">
        <v>24000</v>
      </c>
      <c r="E566" s="394" t="s">
        <v>1087</v>
      </c>
      <c r="F566" s="394">
        <v>373</v>
      </c>
      <c r="G566" s="396">
        <v>5.4</v>
      </c>
      <c r="H566" s="396">
        <v>4.4000000000000004</v>
      </c>
      <c r="I566" s="396">
        <v>5.8</v>
      </c>
      <c r="J566" s="396">
        <v>6.3</v>
      </c>
      <c r="K566" s="396">
        <v>4.2</v>
      </c>
      <c r="L566" s="394" t="s">
        <v>1105</v>
      </c>
      <c r="M566" s="394"/>
      <c r="N566" s="389">
        <f>AVERAGE(H566,I566,K566)</f>
        <v>4.8</v>
      </c>
      <c r="O566" s="397">
        <v>3200</v>
      </c>
      <c r="P566" s="397">
        <v>1782</v>
      </c>
      <c r="Q566" s="397">
        <v>1447</v>
      </c>
      <c r="R566" s="397">
        <v>2639</v>
      </c>
      <c r="S566" s="397">
        <v>1548</v>
      </c>
      <c r="T566" s="397">
        <v>1544</v>
      </c>
      <c r="U566" s="397">
        <v>215</v>
      </c>
      <c r="V566" s="397">
        <v>215</v>
      </c>
      <c r="W566" s="397">
        <v>300</v>
      </c>
      <c r="X566" s="397">
        <v>280</v>
      </c>
      <c r="Y566" s="399">
        <f>S566-('FMTC Main'!$E$22-U566)</f>
        <v>1763</v>
      </c>
      <c r="Z566" s="399">
        <f>T566-('FMTC Main'!$E$27-V566)</f>
        <v>1759</v>
      </c>
      <c r="AA566" s="400" t="str">
        <f>A566&amp;" "&amp;B566&amp;" "&amp;C566</f>
        <v>2009 Volvo C30 R-Design</v>
      </c>
    </row>
    <row r="567" spans="1:27" ht="12.95" customHeight="1">
      <c r="A567" s="394">
        <v>2011</v>
      </c>
      <c r="B567" s="394" t="s">
        <v>281</v>
      </c>
      <c r="C567" s="394" t="s">
        <v>990</v>
      </c>
      <c r="D567" s="395">
        <v>14000</v>
      </c>
      <c r="E567" s="394" t="s">
        <v>1088</v>
      </c>
      <c r="F567" s="394">
        <v>442</v>
      </c>
      <c r="G567" s="396">
        <v>6.1</v>
      </c>
      <c r="H567" s="396">
        <v>4.8</v>
      </c>
      <c r="I567" s="396">
        <v>6.2</v>
      </c>
      <c r="J567" s="396">
        <v>7</v>
      </c>
      <c r="K567" s="396">
        <v>4.5999999999999996</v>
      </c>
      <c r="L567" s="394" t="s">
        <v>1105</v>
      </c>
      <c r="M567" s="394"/>
      <c r="N567" s="389">
        <f>AVERAGE(H567,I567,K567)</f>
        <v>5.2</v>
      </c>
      <c r="O567" s="397">
        <v>3571</v>
      </c>
      <c r="P567" s="397">
        <v>1865</v>
      </c>
      <c r="Q567" s="397">
        <v>1485</v>
      </c>
      <c r="R567" s="397">
        <v>2776</v>
      </c>
      <c r="S567" s="397">
        <v>1588</v>
      </c>
      <c r="T567" s="397">
        <v>1585</v>
      </c>
      <c r="U567" s="397">
        <v>235</v>
      </c>
      <c r="V567" s="397">
        <v>235</v>
      </c>
      <c r="W567" s="397">
        <v>300</v>
      </c>
      <c r="X567" s="397">
        <v>302</v>
      </c>
      <c r="Y567" s="399">
        <f>S567-('FMTC Main'!$E$22-U567)</f>
        <v>1823</v>
      </c>
      <c r="Z567" s="399">
        <f>T567-('FMTC Main'!$E$27-V567)</f>
        <v>1820</v>
      </c>
      <c r="AA567" s="400" t="str">
        <f>A567&amp;" "&amp;B567&amp;" "&amp;C567</f>
        <v>2011 Volvo S60 R-Design</v>
      </c>
    </row>
    <row r="568" spans="1:27" ht="12.95" customHeight="1">
      <c r="A568" s="394">
        <v>2004</v>
      </c>
      <c r="B568" s="394" t="s">
        <v>281</v>
      </c>
      <c r="C568" s="394" t="s">
        <v>989</v>
      </c>
      <c r="D568" s="395">
        <v>32000</v>
      </c>
      <c r="E568" s="394" t="s">
        <v>1088</v>
      </c>
      <c r="F568" s="394">
        <v>459</v>
      </c>
      <c r="G568" s="396">
        <v>6.6</v>
      </c>
      <c r="H568" s="396">
        <v>4.8</v>
      </c>
      <c r="I568" s="396">
        <v>6.4</v>
      </c>
      <c r="J568" s="396">
        <v>7.3</v>
      </c>
      <c r="K568" s="396">
        <v>4.7</v>
      </c>
      <c r="L568" s="394" t="s">
        <v>1105</v>
      </c>
      <c r="M568" s="394"/>
      <c r="N568" s="389">
        <f>AVERAGE(H568,I568,K568)</f>
        <v>5.3</v>
      </c>
      <c r="O568" s="397">
        <v>3812</v>
      </c>
      <c r="P568" s="397">
        <v>1804</v>
      </c>
      <c r="Q568" s="397">
        <v>1431</v>
      </c>
      <c r="R568" s="397">
        <v>2717</v>
      </c>
      <c r="S568" s="397">
        <v>1557</v>
      </c>
      <c r="T568" s="397">
        <v>1542</v>
      </c>
      <c r="U568" s="397">
        <v>235</v>
      </c>
      <c r="V568" s="397">
        <v>235</v>
      </c>
      <c r="W568" s="397">
        <v>286</v>
      </c>
      <c r="X568" s="397">
        <v>288</v>
      </c>
      <c r="Y568" s="399">
        <f>S568-('FMTC Main'!$E$22-U568)</f>
        <v>1792</v>
      </c>
      <c r="Z568" s="399">
        <f>T568-('FMTC Main'!$E$27-V568)</f>
        <v>1777</v>
      </c>
      <c r="AA568" s="400" t="str">
        <f>A568&amp;" "&amp;B568&amp;" "&amp;C568</f>
        <v>2004 Volvo S60R</v>
      </c>
    </row>
    <row r="569" spans="1:27" ht="12.95" customHeight="1">
      <c r="A569" s="394">
        <v>2010</v>
      </c>
      <c r="B569" s="394" t="s">
        <v>991</v>
      </c>
      <c r="C569" s="394" t="s">
        <v>992</v>
      </c>
      <c r="D569" s="395">
        <v>220000</v>
      </c>
      <c r="E569" s="394" t="s">
        <v>1092</v>
      </c>
      <c r="F569" s="394">
        <v>618</v>
      </c>
      <c r="G569" s="396">
        <v>8.8000000000000007</v>
      </c>
      <c r="H569" s="396">
        <v>5.8</v>
      </c>
      <c r="I569" s="396">
        <v>8.4</v>
      </c>
      <c r="J569" s="396">
        <v>7.6</v>
      </c>
      <c r="K569" s="396">
        <v>5.6</v>
      </c>
      <c r="L569" s="394" t="s">
        <v>1093</v>
      </c>
      <c r="M569" s="394"/>
      <c r="N569" s="389">
        <f>AVERAGE(H569,I569,K569)</f>
        <v>6.5999999999999988</v>
      </c>
      <c r="O569" s="397">
        <v>3075</v>
      </c>
      <c r="P569" s="397">
        <v>1950</v>
      </c>
      <c r="Q569" s="397">
        <v>1180</v>
      </c>
      <c r="R569" s="397">
        <v>2507</v>
      </c>
      <c r="S569" s="397">
        <v>1574</v>
      </c>
      <c r="T569" s="397">
        <v>1718</v>
      </c>
      <c r="U569" s="397">
        <v>245</v>
      </c>
      <c r="V569" s="397">
        <v>275</v>
      </c>
      <c r="W569" s="397">
        <v>360</v>
      </c>
      <c r="X569" s="397">
        <v>350</v>
      </c>
      <c r="Y569" s="399">
        <f>S569-('FMTC Main'!$E$22-U569)</f>
        <v>1819</v>
      </c>
      <c r="Z569" s="399">
        <f>T569-('FMTC Main'!$E$27-V569)</f>
        <v>1993</v>
      </c>
      <c r="AA569" s="400" t="str">
        <f>A569&amp;" "&amp;B569&amp;" "&amp;C569</f>
        <v>2010 Wiesmann GT MF5</v>
      </c>
    </row>
    <row r="570" spans="1:27" ht="12.95" customHeight="1">
      <c r="A570" s="310" t="str">
        <f>"Total: "</f>
        <v xml:space="preserve">Total: </v>
      </c>
      <c r="B570" s="651">
        <f>ROWS(A3:A569)</f>
        <v>567</v>
      </c>
      <c r="C570" s="652"/>
      <c r="D570" s="412"/>
      <c r="H570" s="413"/>
      <c r="I570" s="413"/>
      <c r="J570" s="414"/>
      <c r="K570" s="414"/>
      <c r="L570" s="414"/>
      <c r="M570" s="414"/>
      <c r="N570" s="414"/>
      <c r="O570" s="415"/>
      <c r="P570" s="381"/>
      <c r="R570" s="415"/>
      <c r="S570" s="416"/>
      <c r="T570" s="381"/>
      <c r="U570" s="414"/>
      <c r="W570" s="417"/>
      <c r="X570" s="418"/>
    </row>
    <row r="571" spans="1:27" ht="12.95" customHeight="1">
      <c r="A571" s="419" t="str">
        <f>"Car List: "</f>
        <v xml:space="preserve">Car List: </v>
      </c>
      <c r="B571" s="311">
        <f>COUNTA(D3:L569)/(9*B570)</f>
        <v>0.98393102096805796</v>
      </c>
      <c r="C571" s="333"/>
      <c r="O571" s="418"/>
      <c r="P571" s="418"/>
      <c r="Q571" s="418"/>
      <c r="R571" s="381"/>
      <c r="S571" s="381"/>
      <c r="T571" s="381"/>
      <c r="U571" s="381"/>
      <c r="X571" s="381"/>
      <c r="Y571" s="381"/>
      <c r="Z571" s="381"/>
      <c r="AA571" s="381"/>
    </row>
    <row r="572" spans="1:27" ht="12.95" customHeight="1">
      <c r="A572" s="419" t="str">
        <f>"Database: "</f>
        <v xml:space="preserve">Database: </v>
      </c>
      <c r="B572" s="649">
        <f>COUNT(O3:X569)/(10*B570)</f>
        <v>0.9975308641975309</v>
      </c>
      <c r="C572" s="650"/>
      <c r="D572" s="423"/>
      <c r="O572" s="418"/>
      <c r="P572" s="418"/>
      <c r="Q572" s="418"/>
      <c r="R572" s="381"/>
      <c r="S572" s="381"/>
      <c r="T572" s="381"/>
      <c r="U572" s="381"/>
      <c r="X572" s="381"/>
      <c r="Y572" s="381"/>
      <c r="Z572" s="381"/>
      <c r="AA572" s="381"/>
    </row>
    <row r="577" spans="16:24" ht="12.95" customHeight="1">
      <c r="P577" s="381"/>
      <c r="T577" s="381"/>
      <c r="X577" s="418"/>
    </row>
    <row r="578" spans="16:24" ht="12.95" customHeight="1">
      <c r="P578" s="381"/>
      <c r="T578" s="381"/>
    </row>
  </sheetData>
  <sheetProtection selectLockedCells="1" autoFilter="0"/>
  <mergeCells count="7">
    <mergeCell ref="W1:X1"/>
    <mergeCell ref="Y1:Z1"/>
    <mergeCell ref="A1:C1"/>
    <mergeCell ref="B572:C572"/>
    <mergeCell ref="B570:C570"/>
    <mergeCell ref="S1:T1"/>
    <mergeCell ref="U1:V1"/>
  </mergeCells>
  <conditionalFormatting sqref="A1">
    <cfRule type="containsErrors" dxfId="29" priority="1" stopIfTrue="1">
      <formula>ISERROR(A1)</formula>
    </cfRule>
  </conditionalFormatting>
  <printOptions horizontalCentered="1"/>
  <pageMargins left="0.7" right="0.7" top="0.75" bottom="0.75" header="0.3" footer="0.3"/>
  <pageSetup scale="45" fitToHeight="6" orientation="portrait" horizontalDpi="4294967293" verticalDpi="4294967293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E61"/>
  <sheetViews>
    <sheetView showGridLines="0" workbookViewId="0">
      <selection activeCell="I38" sqref="I38"/>
    </sheetView>
  </sheetViews>
  <sheetFormatPr defaultColWidth="6.5703125" defaultRowHeight="11.25" customHeight="1"/>
  <cols>
    <col min="2" max="2" width="6.5703125" style="122"/>
  </cols>
  <sheetData>
    <row r="1" spans="1:5" ht="11.25" customHeight="1">
      <c r="A1" s="653" t="s">
        <v>766</v>
      </c>
      <c r="B1" s="654"/>
      <c r="C1" s="654"/>
      <c r="D1" s="654"/>
      <c r="E1" s="123"/>
    </row>
    <row r="2" spans="1:5" ht="11.25" customHeight="1">
      <c r="A2" s="135" t="str">
        <f>'FMTC Main'!H1</f>
        <v>Select Car</v>
      </c>
      <c r="B2" s="124"/>
      <c r="C2" s="124"/>
      <c r="D2" s="124"/>
      <c r="E2" s="123"/>
    </row>
    <row r="3" spans="1:5" ht="11.25" customHeight="1">
      <c r="B3" s="121" t="str">
        <f>"Tire Pressure: "</f>
        <v xml:space="preserve">Tire Pressure: </v>
      </c>
    </row>
    <row r="4" spans="1:5" ht="11.25" customHeight="1">
      <c r="B4" s="27" t="str">
        <f>"Front: "</f>
        <v xml:space="preserve">Front: </v>
      </c>
      <c r="C4" s="162" t="e">
        <f>'FMTC Main'!K7</f>
        <v>#DIV/0!</v>
      </c>
    </row>
    <row r="5" spans="1:5" ht="11.25" customHeight="1">
      <c r="B5" s="27" t="str">
        <f>"Rear: "</f>
        <v xml:space="preserve">Rear: </v>
      </c>
      <c r="C5" s="162" t="e">
        <f>'FMTC Main'!K8</f>
        <v>#DIV/0!</v>
      </c>
    </row>
    <row r="6" spans="1:5" ht="11.25" customHeight="1">
      <c r="B6" s="27" t="str">
        <f>" "</f>
        <v xml:space="preserve"> </v>
      </c>
      <c r="C6" s="137"/>
    </row>
    <row r="7" spans="1:5" ht="11.25" customHeight="1">
      <c r="B7" s="121" t="str">
        <f>"Gearing: "</f>
        <v xml:space="preserve">Gearing: </v>
      </c>
      <c r="C7" s="137"/>
    </row>
    <row r="8" spans="1:5" ht="11.25" customHeight="1">
      <c r="B8" s="27" t="str">
        <f>"Final Drive: "</f>
        <v xml:space="preserve">Final Drive: </v>
      </c>
      <c r="C8" s="138" t="e">
        <f>'FMTC Main'!K13</f>
        <v>#DIV/0!</v>
      </c>
    </row>
    <row r="9" spans="1:5" ht="11.25" customHeight="1">
      <c r="B9" s="27" t="str">
        <f>"1st: "</f>
        <v xml:space="preserve">1st: </v>
      </c>
      <c r="C9" s="138" t="e">
        <f>'FMTC Main'!K14</f>
        <v>#DIV/0!</v>
      </c>
    </row>
    <row r="10" spans="1:5" ht="11.25" customHeight="1">
      <c r="B10" s="27" t="str">
        <f>"2nd: "</f>
        <v xml:space="preserve">2nd: </v>
      </c>
      <c r="C10" s="138" t="e">
        <f>'FMTC Main'!K15</f>
        <v>#DIV/0!</v>
      </c>
    </row>
    <row r="11" spans="1:5" ht="11.25" customHeight="1">
      <c r="B11" s="27" t="str">
        <f>"3rd: "</f>
        <v xml:space="preserve">3rd: </v>
      </c>
      <c r="C11" s="138" t="e">
        <f>'FMTC Main'!K16</f>
        <v>#DIV/0!</v>
      </c>
    </row>
    <row r="12" spans="1:5" ht="11.25" customHeight="1">
      <c r="B12" s="27" t="str">
        <f>"4th: "</f>
        <v xml:space="preserve">4th: </v>
      </c>
      <c r="C12" s="138" t="e">
        <f>'FMTC Main'!K17</f>
        <v>#DIV/0!</v>
      </c>
    </row>
    <row r="13" spans="1:5" ht="11.25" customHeight="1">
      <c r="B13" s="27" t="str">
        <f>"5th: "</f>
        <v xml:space="preserve">5th: </v>
      </c>
      <c r="C13" s="138" t="e">
        <f>'FMTC Main'!K18</f>
        <v>#DIV/0!</v>
      </c>
    </row>
    <row r="14" spans="1:5" ht="11.25" customHeight="1">
      <c r="B14" s="27" t="str">
        <f>"6th: "</f>
        <v xml:space="preserve">6th: </v>
      </c>
      <c r="C14" s="138">
        <f>'FMTC Main'!K19</f>
        <v>0.8</v>
      </c>
    </row>
    <row r="15" spans="1:5" ht="11.25" customHeight="1">
      <c r="B15" s="27" t="str">
        <f>" "</f>
        <v xml:space="preserve"> </v>
      </c>
      <c r="C15" s="137"/>
    </row>
    <row r="16" spans="1:5" ht="11.25" customHeight="1">
      <c r="B16" s="121" t="str">
        <f>"Alignment: "</f>
        <v xml:space="preserve">Alignment: </v>
      </c>
      <c r="C16" s="137"/>
    </row>
    <row r="17" spans="2:3" ht="11.25" customHeight="1">
      <c r="B17" s="27" t="str">
        <f>"Front Camber: "</f>
        <v xml:space="preserve">Front Camber: </v>
      </c>
      <c r="C17" s="136" t="e">
        <f>'FMTC Main'!K24</f>
        <v>#DIV/0!</v>
      </c>
    </row>
    <row r="18" spans="2:3" ht="11.25" customHeight="1">
      <c r="B18" s="27" t="str">
        <f>"Rear Camber: "</f>
        <v xml:space="preserve">Rear Camber: </v>
      </c>
      <c r="C18" s="136" t="e">
        <f>'FMTC Main'!K25</f>
        <v>#DIV/0!</v>
      </c>
    </row>
    <row r="19" spans="2:3" ht="11.25" customHeight="1">
      <c r="B19" s="27" t="str">
        <f>"Front Toe: "</f>
        <v xml:space="preserve">Front Toe: </v>
      </c>
      <c r="C19" s="136" t="e">
        <f>'FMTC Main'!K27</f>
        <v>#DIV/0!</v>
      </c>
    </row>
    <row r="20" spans="2:3" ht="11.25" customHeight="1">
      <c r="B20" s="27" t="str">
        <f>"Rear Toe: "</f>
        <v xml:space="preserve">Rear Toe: </v>
      </c>
      <c r="C20" s="136" t="e">
        <f>'FMTC Main'!K28</f>
        <v>#DIV/0!</v>
      </c>
    </row>
    <row r="21" spans="2:3" ht="11.25" customHeight="1">
      <c r="B21" s="27" t="str">
        <f>"Caster: "</f>
        <v xml:space="preserve">Caster: </v>
      </c>
      <c r="C21" s="136" t="e">
        <f>'FMTC Main'!K30</f>
        <v>#DIV/0!</v>
      </c>
    </row>
    <row r="22" spans="2:3" ht="11.25" customHeight="1">
      <c r="B22" s="27" t="str">
        <f>" "</f>
        <v xml:space="preserve"> </v>
      </c>
      <c r="C22" s="137"/>
    </row>
    <row r="23" spans="2:3" ht="11.25" customHeight="1">
      <c r="B23" s="121" t="str">
        <f>"Sway Bars: "</f>
        <v xml:space="preserve">Sway Bars: </v>
      </c>
      <c r="C23" s="137"/>
    </row>
    <row r="24" spans="2:3" ht="11.25" customHeight="1">
      <c r="B24" s="27" t="str">
        <f>"Front: "</f>
        <v xml:space="preserve">Front: </v>
      </c>
      <c r="C24" s="138" t="e">
        <f>'FMTC Main'!K35</f>
        <v>#N/A</v>
      </c>
    </row>
    <row r="25" spans="2:3" ht="11.25" customHeight="1">
      <c r="B25" s="27" t="str">
        <f>"Rear: "</f>
        <v xml:space="preserve">Rear: </v>
      </c>
      <c r="C25" s="138" t="e">
        <f>'FMTC Main'!K36</f>
        <v>#N/A</v>
      </c>
    </row>
    <row r="26" spans="2:3" ht="11.25" customHeight="1">
      <c r="B26" s="27" t="str">
        <f>" "</f>
        <v xml:space="preserve"> </v>
      </c>
      <c r="C26" s="137"/>
    </row>
    <row r="27" spans="2:3" ht="11.25" customHeight="1">
      <c r="B27" s="121" t="str">
        <f>"Springs: "</f>
        <v xml:space="preserve">Springs: </v>
      </c>
      <c r="C27" s="137"/>
    </row>
    <row r="28" spans="2:3" ht="11.25" customHeight="1">
      <c r="B28" s="27" t="str">
        <f>"Front: "</f>
        <v xml:space="preserve">Front: </v>
      </c>
      <c r="C28" s="136" t="e">
        <f>'FMTC Main'!Q7</f>
        <v>#N/A</v>
      </c>
    </row>
    <row r="29" spans="2:3" ht="11.25" customHeight="1">
      <c r="B29" s="27" t="str">
        <f>"Rear: "</f>
        <v xml:space="preserve">Rear: </v>
      </c>
      <c r="C29" s="136" t="e">
        <f>'FMTC Main'!Q8</f>
        <v>#N/A</v>
      </c>
    </row>
    <row r="30" spans="2:3" ht="11.25" customHeight="1">
      <c r="B30" s="27" t="str">
        <f>" "</f>
        <v xml:space="preserve"> </v>
      </c>
      <c r="C30" s="137"/>
    </row>
    <row r="31" spans="2:3" ht="11.25" customHeight="1">
      <c r="B31" s="121" t="str">
        <f>"Ride Height: "</f>
        <v xml:space="preserve">Ride Height: </v>
      </c>
      <c r="C31" s="137"/>
    </row>
    <row r="32" spans="2:3" ht="11.25" customHeight="1">
      <c r="B32" s="27" t="str">
        <f>"Front: "</f>
        <v xml:space="preserve">Front: </v>
      </c>
      <c r="C32" s="722">
        <f>'Tire Dynamics'!Q39</f>
        <v>0</v>
      </c>
    </row>
    <row r="33" spans="2:3" ht="11.25" customHeight="1">
      <c r="B33" s="27" t="str">
        <f>"Rear: "</f>
        <v xml:space="preserve">Rear: </v>
      </c>
      <c r="C33" s="722">
        <f>'Tire Dynamics'!R39</f>
        <v>0</v>
      </c>
    </row>
    <row r="34" spans="2:3" ht="11.25" customHeight="1">
      <c r="B34" s="27" t="str">
        <f>" "</f>
        <v xml:space="preserve"> </v>
      </c>
      <c r="C34" s="137"/>
    </row>
    <row r="35" spans="2:3" ht="11.25" customHeight="1">
      <c r="B35" s="121" t="str">
        <f>"Rebound: "</f>
        <v xml:space="preserve">Rebound: </v>
      </c>
      <c r="C35" s="137"/>
    </row>
    <row r="36" spans="2:3" ht="11.25" customHeight="1">
      <c r="B36" s="27" t="str">
        <f>"Front: "</f>
        <v xml:space="preserve">Front: </v>
      </c>
      <c r="C36" s="136" t="e">
        <f>'FMTC Main'!Q13</f>
        <v>#N/A</v>
      </c>
    </row>
    <row r="37" spans="2:3" ht="11.25" customHeight="1">
      <c r="B37" s="27" t="str">
        <f>"Rear: "</f>
        <v xml:space="preserve">Rear: </v>
      </c>
      <c r="C37" s="136" t="e">
        <f>'FMTC Main'!Q14</f>
        <v>#N/A</v>
      </c>
    </row>
    <row r="38" spans="2:3" ht="11.25" customHeight="1">
      <c r="B38" s="27" t="str">
        <f>" "</f>
        <v xml:space="preserve"> </v>
      </c>
      <c r="C38" s="137"/>
    </row>
    <row r="39" spans="2:3" ht="11.25" customHeight="1">
      <c r="B39" s="121" t="str">
        <f>"Bump: "</f>
        <v xml:space="preserve">Bump: </v>
      </c>
      <c r="C39" s="137"/>
    </row>
    <row r="40" spans="2:3" ht="11.25" customHeight="1">
      <c r="B40" s="27" t="str">
        <f>"Front: "</f>
        <v xml:space="preserve">Front: </v>
      </c>
      <c r="C40" s="136" t="e">
        <f>'FMTC Main'!Q16</f>
        <v>#N/A</v>
      </c>
    </row>
    <row r="41" spans="2:3" ht="11.25" customHeight="1">
      <c r="B41" s="27" t="str">
        <f>"Rear: "</f>
        <v xml:space="preserve">Rear: </v>
      </c>
      <c r="C41" s="136" t="e">
        <f>'FMTC Main'!Q17</f>
        <v>#N/A</v>
      </c>
    </row>
    <row r="42" spans="2:3" ht="11.25" customHeight="1">
      <c r="B42" s="27" t="str">
        <f>" "</f>
        <v xml:space="preserve"> </v>
      </c>
      <c r="C42" s="137"/>
    </row>
    <row r="43" spans="2:3" ht="11.25" customHeight="1">
      <c r="B43" s="121" t="str">
        <f>"Aero: "</f>
        <v xml:space="preserve">Aero: </v>
      </c>
      <c r="C43" s="137"/>
    </row>
    <row r="44" spans="2:3" ht="11.25" customHeight="1">
      <c r="B44" s="27" t="str">
        <f>"Front: "</f>
        <v xml:space="preserve">Front: </v>
      </c>
      <c r="C44" s="192">
        <f>'FMTC Main'!W37</f>
        <v>0</v>
      </c>
    </row>
    <row r="45" spans="2:3" ht="11.25" customHeight="1">
      <c r="B45" s="27" t="str">
        <f>"Rear: "</f>
        <v xml:space="preserve">Rear: </v>
      </c>
      <c r="C45" s="192">
        <f>'FMTC Main'!X37</f>
        <v>0</v>
      </c>
    </row>
    <row r="46" spans="2:3" ht="11.25" customHeight="1">
      <c r="B46" s="27" t="str">
        <f>" "</f>
        <v xml:space="preserve"> </v>
      </c>
      <c r="C46" s="137"/>
    </row>
    <row r="47" spans="2:3" ht="11.25" customHeight="1">
      <c r="B47" s="121" t="str">
        <f>"Braking: "</f>
        <v xml:space="preserve">Braking: </v>
      </c>
      <c r="C47" s="137"/>
    </row>
    <row r="48" spans="2:3" ht="11.25" customHeight="1">
      <c r="B48" s="27" t="str">
        <f>"Balance: "</f>
        <v xml:space="preserve">Balance: </v>
      </c>
      <c r="C48" s="139" t="e">
        <f>'FMTC Main'!Q22</f>
        <v>#N/A</v>
      </c>
    </row>
    <row r="49" spans="2:3" ht="11.25" customHeight="1">
      <c r="B49" s="27" t="str">
        <f>"Pressure: "</f>
        <v xml:space="preserve">Pressure: </v>
      </c>
      <c r="C49" s="139" t="e">
        <f>'FMTC Main'!Q24</f>
        <v>#N/A</v>
      </c>
    </row>
    <row r="50" spans="2:3" ht="11.25" customHeight="1">
      <c r="B50" s="27" t="str">
        <f>" "</f>
        <v xml:space="preserve"> </v>
      </c>
      <c r="C50" s="137"/>
    </row>
    <row r="51" spans="2:3" ht="11.25" customHeight="1">
      <c r="B51" s="121" t="str">
        <f>"Differential: "</f>
        <v xml:space="preserve">Differential: </v>
      </c>
      <c r="C51" s="137"/>
    </row>
    <row r="52" spans="2:3" ht="11.25" customHeight="1">
      <c r="B52" s="121" t="str">
        <f>"Front: "</f>
        <v xml:space="preserve">Front: </v>
      </c>
      <c r="C52" s="137"/>
    </row>
    <row r="53" spans="2:3" ht="11.25" customHeight="1">
      <c r="B53" s="27" t="str">
        <f>"Accel: "</f>
        <v xml:space="preserve">Accel: </v>
      </c>
      <c r="C53" s="139" t="str">
        <f>IF('FMTC Main'!E8="FWD",'FMTC Main'!Q29,IF('FMTC Main'!E8="AWD",'FMTC Main'!Q29,""))</f>
        <v/>
      </c>
    </row>
    <row r="54" spans="2:3" ht="11.25" customHeight="1">
      <c r="B54" s="27" t="str">
        <f>"Decel: "</f>
        <v xml:space="preserve">Decel: </v>
      </c>
      <c r="C54" s="139" t="str">
        <f>IF('FMTC Main'!E8="FWD",'FMTC Main'!Q30,IF('FMTC Main'!E8="AWD",'FMTC Main'!Q30,""))</f>
        <v/>
      </c>
    </row>
    <row r="55" spans="2:3" ht="11.25" customHeight="1">
      <c r="B55" s="27" t="str">
        <f>" "</f>
        <v xml:space="preserve"> </v>
      </c>
      <c r="C55" s="137"/>
    </row>
    <row r="56" spans="2:3" ht="11.25" customHeight="1">
      <c r="B56" s="121" t="str">
        <f>"Rear: "</f>
        <v xml:space="preserve">Rear: </v>
      </c>
      <c r="C56" s="137"/>
    </row>
    <row r="57" spans="2:3" ht="11.25" customHeight="1">
      <c r="B57" s="27" t="str">
        <f>"Accel: "</f>
        <v xml:space="preserve">Accel: </v>
      </c>
      <c r="C57" s="139" t="e">
        <f>IF('FMTC Main'!E8="RWD",'FMTC Main'!Q29,IF('FMTC Main'!E8="AWD",'FMTC Main'!Q32,""))</f>
        <v>#N/A</v>
      </c>
    </row>
    <row r="58" spans="2:3" ht="11.25" customHeight="1">
      <c r="B58" s="27" t="str">
        <f>"Decel: "</f>
        <v xml:space="preserve">Decel: </v>
      </c>
      <c r="C58" s="139" t="e">
        <f>IF('FMTC Main'!E8="RWD",'FMTC Main'!Q30,IF('FMTC Main'!E8="AWD",'FMTC Main'!Q33,""))</f>
        <v>#DIV/0!</v>
      </c>
    </row>
    <row r="59" spans="2:3" ht="11.25" customHeight="1">
      <c r="B59" s="27" t="str">
        <f>" "</f>
        <v xml:space="preserve"> </v>
      </c>
      <c r="C59" s="137"/>
    </row>
    <row r="60" spans="2:3" ht="11.25" customHeight="1">
      <c r="B60" s="121" t="str">
        <f>"Torque Split: "</f>
        <v xml:space="preserve">Torque Split: </v>
      </c>
      <c r="C60" s="137"/>
    </row>
    <row r="61" spans="2:3" ht="11.25" customHeight="1">
      <c r="B61" s="27" t="str">
        <f>"Center: "</f>
        <v xml:space="preserve">Center: </v>
      </c>
      <c r="C61" s="139" t="str">
        <f>'FMTC Main'!Q36</f>
        <v/>
      </c>
    </row>
  </sheetData>
  <sheetProtection sheet="1" objects="1" scenarios="1" selectLockedCells="1"/>
  <mergeCells count="1">
    <mergeCell ref="A1:D1"/>
  </mergeCells>
  <conditionalFormatting sqref="A1:A2 E1:E2">
    <cfRule type="containsErrors" dxfId="28" priority="1" stopIfTrue="1">
      <formula>ISERROR(A1)</formula>
    </cfRule>
  </conditionalFormatting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17</vt:i4>
      </vt:variant>
    </vt:vector>
  </HeadingPairs>
  <TitlesOfParts>
    <vt:vector size="28" baseType="lpstr">
      <vt:lpstr>FMTC Main</vt:lpstr>
      <vt:lpstr>Tire Dynamics</vt:lpstr>
      <vt:lpstr>Transmission</vt:lpstr>
      <vt:lpstr>Aerodynamics</vt:lpstr>
      <vt:lpstr>Class Builder</vt:lpstr>
      <vt:lpstr>Priority Upgrade Table</vt:lpstr>
      <vt:lpstr>Rim Styles</vt:lpstr>
      <vt:lpstr>Vehicle Database</vt:lpstr>
      <vt:lpstr>Summary</vt:lpstr>
      <vt:lpstr>Calculation Data &amp; Factors</vt:lpstr>
      <vt:lpstr>Graveyard</vt:lpstr>
      <vt:lpstr>DriveTypeList</vt:lpstr>
      <vt:lpstr>Favorite_Option</vt:lpstr>
      <vt:lpstr>ModelList</vt:lpstr>
      <vt:lpstr>Aerodynamics!Print_Area</vt:lpstr>
      <vt:lpstr>'Calculation Data &amp; Factors'!Print_Area</vt:lpstr>
      <vt:lpstr>'Class Builder'!Print_Area</vt:lpstr>
      <vt:lpstr>'FMTC Main'!Print_Area</vt:lpstr>
      <vt:lpstr>Graveyard!Print_Area</vt:lpstr>
      <vt:lpstr>'Priority Upgrade Table'!Print_Area</vt:lpstr>
      <vt:lpstr>'Rim Styles'!Print_Area</vt:lpstr>
      <vt:lpstr>Summary!Print_Area</vt:lpstr>
      <vt:lpstr>'Tire Dynamics'!Print_Area</vt:lpstr>
      <vt:lpstr>Transmission!Print_Area</vt:lpstr>
      <vt:lpstr>'Vehicle Database'!Print_Area</vt:lpstr>
      <vt:lpstr>'Vehicle Database'!Print_Titles</vt:lpstr>
      <vt:lpstr>RimList</vt:lpstr>
      <vt:lpstr>ShiftPointList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Amado</dc:creator>
  <cp:lastModifiedBy>Amado</cp:lastModifiedBy>
  <cp:lastPrinted>2012-01-16T18:30:15Z</cp:lastPrinted>
  <dcterms:created xsi:type="dcterms:W3CDTF">2009-07-16T08:08:01Z</dcterms:created>
  <dcterms:modified xsi:type="dcterms:W3CDTF">2012-01-17T18:28:08Z</dcterms:modified>
</cp:coreProperties>
</file>